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workbookProtection workbookPassword="DE31" lockStructure="1"/>
  <bookViews>
    <workbookView xWindow="0" yWindow="240" windowWidth="20496" windowHeight="6828" activeTab="3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K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5" i="13"/>
  <c r="P67" i="13"/>
  <c r="P50" i="13"/>
  <c r="P21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92" i="13"/>
  <c r="P84" i="13"/>
  <c r="P58" i="13"/>
  <c r="P30" i="13"/>
  <c r="P17" i="13"/>
  <c r="P106" i="13"/>
  <c r="P101" i="13"/>
  <c r="P96" i="13"/>
  <c r="P88" i="13"/>
  <c r="P54" i="13"/>
  <c r="P25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19" i="13"/>
  <c r="P11" i="13"/>
  <c r="P63" i="13"/>
  <c r="P35" i="13"/>
  <c r="P13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K108" i="14"/>
  <c r="J108" i="14"/>
  <c r="O107" i="14"/>
  <c r="N107" i="14"/>
  <c r="K107" i="14"/>
  <c r="J107" i="14"/>
  <c r="O105" i="14"/>
  <c r="N105" i="14"/>
  <c r="K105" i="14"/>
  <c r="J105" i="14"/>
  <c r="O104" i="14"/>
  <c r="N104" i="14"/>
  <c r="K104" i="14"/>
  <c r="J104" i="14"/>
  <c r="O103" i="14"/>
  <c r="N103" i="14"/>
  <c r="K103" i="14"/>
  <c r="J103" i="14"/>
  <c r="O102" i="14"/>
  <c r="N102" i="14"/>
  <c r="K102" i="14"/>
  <c r="J102" i="14"/>
  <c r="O101" i="14"/>
  <c r="N101" i="14"/>
  <c r="K101" i="14"/>
  <c r="J101" i="14"/>
  <c r="O99" i="14"/>
  <c r="N99" i="14"/>
  <c r="K99" i="14"/>
  <c r="J99" i="14"/>
  <c r="O98" i="14"/>
  <c r="N98" i="14"/>
  <c r="K98" i="14"/>
  <c r="J98" i="14"/>
  <c r="O97" i="14"/>
  <c r="N97" i="14"/>
  <c r="K97" i="14"/>
  <c r="J97" i="14"/>
  <c r="O96" i="14"/>
  <c r="N96" i="14"/>
  <c r="K96" i="14"/>
  <c r="J96" i="14"/>
  <c r="O95" i="14"/>
  <c r="N95" i="14"/>
  <c r="K95" i="14"/>
  <c r="J95" i="14"/>
  <c r="O94" i="14"/>
  <c r="N94" i="14"/>
  <c r="K94" i="14"/>
  <c r="J94" i="14"/>
  <c r="O93" i="14"/>
  <c r="N93" i="14"/>
  <c r="K93" i="14"/>
  <c r="J93" i="14"/>
  <c r="J81" i="14"/>
  <c r="K81" i="14"/>
  <c r="N81" i="14"/>
  <c r="O81" i="14"/>
  <c r="J82" i="14"/>
  <c r="K82" i="14"/>
  <c r="N82" i="14"/>
  <c r="O82" i="14"/>
  <c r="J83" i="14"/>
  <c r="K83" i="14"/>
  <c r="N83" i="14"/>
  <c r="O83" i="14"/>
  <c r="J84" i="14"/>
  <c r="K84" i="14"/>
  <c r="N84" i="14"/>
  <c r="O84" i="14"/>
  <c r="J85" i="14"/>
  <c r="K85" i="14"/>
  <c r="N85" i="14"/>
  <c r="O85" i="14"/>
  <c r="J87" i="14"/>
  <c r="K87" i="14"/>
  <c r="N87" i="14"/>
  <c r="O87" i="14"/>
  <c r="O88" i="14"/>
  <c r="N88" i="14"/>
  <c r="K88" i="14"/>
  <c r="J88" i="14"/>
  <c r="O79" i="14"/>
  <c r="N79" i="14"/>
  <c r="K79" i="14"/>
  <c r="J79" i="14"/>
  <c r="O78" i="14"/>
  <c r="N78" i="14"/>
  <c r="K78" i="14"/>
  <c r="J78" i="14"/>
  <c r="O77" i="14"/>
  <c r="N77" i="14"/>
  <c r="K77" i="14"/>
  <c r="J77" i="14"/>
  <c r="O76" i="14"/>
  <c r="N76" i="14"/>
  <c r="K76" i="14"/>
  <c r="J76" i="14"/>
  <c r="O75" i="14"/>
  <c r="N75" i="14"/>
  <c r="K75" i="14"/>
  <c r="J75" i="14"/>
  <c r="O74" i="14"/>
  <c r="N74" i="14"/>
  <c r="K74" i="14"/>
  <c r="J74" i="14"/>
  <c r="O73" i="14"/>
  <c r="N73" i="14"/>
  <c r="K73" i="14"/>
  <c r="J73" i="14"/>
  <c r="P86" i="14" l="1"/>
  <c r="O86" i="14"/>
  <c r="K86" i="14"/>
  <c r="N86" i="14"/>
  <c r="J86" i="14"/>
  <c r="O68" i="14"/>
  <c r="N68" i="14"/>
  <c r="K68" i="14"/>
  <c r="J68" i="14"/>
  <c r="O67" i="14"/>
  <c r="N67" i="14"/>
  <c r="K67" i="14"/>
  <c r="J67" i="14"/>
  <c r="O66" i="14"/>
  <c r="N66" i="14"/>
  <c r="K66" i="14"/>
  <c r="J66" i="14"/>
  <c r="O65" i="14"/>
  <c r="N65" i="14"/>
  <c r="K65" i="14"/>
  <c r="J65" i="14"/>
  <c r="O64" i="14"/>
  <c r="N64" i="14"/>
  <c r="K64" i="14"/>
  <c r="J64" i="14"/>
  <c r="O62" i="14"/>
  <c r="N62" i="14"/>
  <c r="K62" i="14"/>
  <c r="J62" i="14"/>
  <c r="O61" i="14"/>
  <c r="N61" i="14"/>
  <c r="K61" i="14"/>
  <c r="J61" i="14"/>
  <c r="O60" i="14"/>
  <c r="N60" i="14"/>
  <c r="K60" i="14"/>
  <c r="J60" i="14"/>
  <c r="O57" i="14"/>
  <c r="N57" i="14"/>
  <c r="K57" i="14"/>
  <c r="J57" i="14"/>
  <c r="O56" i="14"/>
  <c r="N56" i="14"/>
  <c r="K56" i="14"/>
  <c r="J56" i="14"/>
  <c r="O55" i="14"/>
  <c r="N55" i="14"/>
  <c r="K55" i="14"/>
  <c r="J55" i="14"/>
  <c r="O54" i="14"/>
  <c r="N54" i="14"/>
  <c r="K54" i="14"/>
  <c r="J54" i="14"/>
  <c r="O52" i="14"/>
  <c r="N52" i="14"/>
  <c r="K52" i="14"/>
  <c r="J52" i="14"/>
  <c r="O48" i="14"/>
  <c r="N48" i="14"/>
  <c r="K48" i="14"/>
  <c r="J48" i="14"/>
  <c r="O47" i="14"/>
  <c r="N47" i="14"/>
  <c r="K47" i="14"/>
  <c r="J47" i="14"/>
  <c r="O46" i="14"/>
  <c r="N46" i="14"/>
  <c r="K46" i="14"/>
  <c r="J46" i="14"/>
  <c r="O45" i="14"/>
  <c r="N45" i="14"/>
  <c r="K45" i="14"/>
  <c r="J45" i="14"/>
  <c r="O44" i="14"/>
  <c r="N44" i="14"/>
  <c r="K44" i="14"/>
  <c r="J44" i="14"/>
  <c r="O43" i="14"/>
  <c r="N43" i="14"/>
  <c r="K43" i="14"/>
  <c r="J43" i="14"/>
  <c r="O41" i="14"/>
  <c r="N41" i="14"/>
  <c r="K41" i="14"/>
  <c r="J41" i="14"/>
  <c r="O40" i="14"/>
  <c r="N40" i="14"/>
  <c r="K40" i="14"/>
  <c r="J40" i="14"/>
  <c r="K59" i="14" l="1"/>
  <c r="O59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K37" i="14"/>
  <c r="J37" i="14"/>
  <c r="O36" i="14"/>
  <c r="N36" i="14"/>
  <c r="K36" i="14"/>
  <c r="J36" i="14"/>
  <c r="O35" i="14"/>
  <c r="N35" i="14"/>
  <c r="K35" i="14"/>
  <c r="J35" i="14"/>
  <c r="O34" i="14"/>
  <c r="N34" i="14"/>
  <c r="K34" i="14"/>
  <c r="J34" i="14"/>
  <c r="O32" i="14"/>
  <c r="N32" i="14"/>
  <c r="K32" i="14"/>
  <c r="J32" i="14"/>
  <c r="O31" i="14"/>
  <c r="N31" i="14"/>
  <c r="K31" i="14"/>
  <c r="J31" i="14"/>
  <c r="O29" i="14"/>
  <c r="N29" i="14"/>
  <c r="K29" i="14"/>
  <c r="J29" i="14"/>
  <c r="O28" i="14"/>
  <c r="N28" i="14"/>
  <c r="K28" i="14"/>
  <c r="J28" i="14"/>
  <c r="O27" i="14"/>
  <c r="N27" i="14"/>
  <c r="K27" i="14"/>
  <c r="J27" i="14"/>
  <c r="O26" i="14"/>
  <c r="N26" i="14"/>
  <c r="K26" i="14"/>
  <c r="J26" i="14"/>
  <c r="O25" i="14"/>
  <c r="N25" i="14"/>
  <c r="K25" i="14"/>
  <c r="J25" i="14"/>
  <c r="O24" i="14"/>
  <c r="N24" i="14"/>
  <c r="K24" i="14"/>
  <c r="J24" i="14"/>
  <c r="O22" i="14"/>
  <c r="N22" i="14"/>
  <c r="K22" i="14"/>
  <c r="J22" i="14"/>
  <c r="O21" i="14"/>
  <c r="N21" i="14"/>
  <c r="K21" i="14"/>
  <c r="J21" i="14"/>
  <c r="O20" i="14"/>
  <c r="N20" i="14"/>
  <c r="K20" i="14"/>
  <c r="J20" i="14"/>
  <c r="O18" i="14"/>
  <c r="N18" i="14"/>
  <c r="K18" i="14"/>
  <c r="J18" i="14"/>
  <c r="O17" i="14"/>
  <c r="N17" i="14"/>
  <c r="K17" i="14"/>
  <c r="J17" i="14"/>
  <c r="O16" i="14"/>
  <c r="N16" i="14"/>
  <c r="K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L36" i="14" s="1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H14" i="14"/>
  <c r="F14" i="14"/>
  <c r="O13" i="14"/>
  <c r="N13" i="14"/>
  <c r="M13" i="14"/>
  <c r="K13" i="14"/>
  <c r="J13" i="14"/>
  <c r="H13" i="14"/>
  <c r="E13" i="14"/>
  <c r="O12" i="14"/>
  <c r="N12" i="14"/>
  <c r="M12" i="14"/>
  <c r="K12" i="14"/>
  <c r="J12" i="14"/>
  <c r="H12" i="14"/>
  <c r="O11" i="14"/>
  <c r="N11" i="14"/>
  <c r="M11" i="14"/>
  <c r="L11" i="14"/>
  <c r="K11" i="14"/>
  <c r="J11" i="14"/>
  <c r="I11" i="14"/>
  <c r="H11" i="14"/>
  <c r="F11" i="14"/>
  <c r="E11" i="14"/>
  <c r="O10" i="14"/>
  <c r="N10" i="14"/>
  <c r="M10" i="14"/>
  <c r="L10" i="14"/>
  <c r="K10" i="14"/>
  <c r="J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F7" i="14"/>
  <c r="D7" i="14"/>
  <c r="O6" i="14"/>
  <c r="N6" i="14"/>
  <c r="M6" i="14"/>
  <c r="L6" i="14"/>
  <c r="K6" i="14"/>
  <c r="J6" i="14"/>
  <c r="I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L107" i="14" l="1"/>
  <c r="L102" i="14"/>
  <c r="L97" i="14"/>
  <c r="L93" i="14"/>
  <c r="L84" i="14"/>
  <c r="L79" i="14"/>
  <c r="L75" i="14"/>
  <c r="L105" i="14"/>
  <c r="L101" i="14"/>
  <c r="L96" i="14"/>
  <c r="L81" i="14"/>
  <c r="L85" i="14"/>
  <c r="L78" i="14"/>
  <c r="L74" i="14"/>
  <c r="L104" i="14"/>
  <c r="L99" i="14"/>
  <c r="L95" i="14"/>
  <c r="L82" i="14"/>
  <c r="L87" i="14"/>
  <c r="L77" i="14"/>
  <c r="L73" i="14"/>
  <c r="L108" i="14"/>
  <c r="L103" i="14"/>
  <c r="L98" i="14"/>
  <c r="L94" i="14"/>
  <c r="L83" i="14"/>
  <c r="L88" i="14"/>
  <c r="L76" i="14"/>
  <c r="L16" i="14"/>
  <c r="L21" i="14"/>
  <c r="L26" i="14"/>
  <c r="L31" i="14"/>
  <c r="L50" i="14"/>
  <c r="L68" i="14"/>
  <c r="L64" i="14"/>
  <c r="L57" i="14"/>
  <c r="L52" i="14"/>
  <c r="L45" i="14"/>
  <c r="L40" i="14"/>
  <c r="L67" i="14"/>
  <c r="L62" i="14"/>
  <c r="L56" i="14"/>
  <c r="L48" i="14"/>
  <c r="L44" i="14"/>
  <c r="L66" i="14"/>
  <c r="L61" i="14"/>
  <c r="L55" i="14"/>
  <c r="L47" i="14"/>
  <c r="L43" i="14"/>
  <c r="L65" i="14"/>
  <c r="L60" i="14"/>
  <c r="L54" i="14"/>
  <c r="L46" i="14"/>
  <c r="L41" i="14"/>
  <c r="L17" i="14"/>
  <c r="L22" i="14"/>
  <c r="L27" i="14"/>
  <c r="L32" i="14"/>
  <c r="L37" i="14"/>
  <c r="L18" i="14"/>
  <c r="L24" i="14"/>
  <c r="L28" i="14"/>
  <c r="L34" i="14"/>
  <c r="L20" i="14"/>
  <c r="L25" i="14"/>
  <c r="L29" i="14"/>
  <c r="L35" i="14"/>
  <c r="E36" i="14"/>
  <c r="E107" i="14"/>
  <c r="E104" i="14"/>
  <c r="E102" i="14"/>
  <c r="E99" i="14"/>
  <c r="E97" i="14"/>
  <c r="E95" i="14"/>
  <c r="E93" i="14"/>
  <c r="E79" i="14"/>
  <c r="E77" i="14"/>
  <c r="E73" i="14"/>
  <c r="E81" i="14"/>
  <c r="E83" i="14"/>
  <c r="E85" i="14"/>
  <c r="E108" i="14"/>
  <c r="E105" i="14"/>
  <c r="E103" i="14"/>
  <c r="E101" i="14"/>
  <c r="E98" i="14"/>
  <c r="E96" i="14"/>
  <c r="E94" i="14"/>
  <c r="E88" i="14"/>
  <c r="E78" i="14"/>
  <c r="E76" i="14"/>
  <c r="E74" i="14"/>
  <c r="E82" i="14"/>
  <c r="E84" i="14"/>
  <c r="E87" i="14"/>
  <c r="E75" i="14"/>
  <c r="E16" i="14"/>
  <c r="E18" i="14"/>
  <c r="E21" i="14"/>
  <c r="E24" i="14"/>
  <c r="E26" i="14"/>
  <c r="E28" i="14"/>
  <c r="E31" i="14"/>
  <c r="E34" i="14"/>
  <c r="E50" i="14"/>
  <c r="E49" i="14" s="1"/>
  <c r="E68" i="14"/>
  <c r="E66" i="14"/>
  <c r="E64" i="14"/>
  <c r="E61" i="14"/>
  <c r="E57" i="14"/>
  <c r="E55" i="14"/>
  <c r="E52" i="14"/>
  <c r="E47" i="14"/>
  <c r="E45" i="14"/>
  <c r="E43" i="14"/>
  <c r="E40" i="14"/>
  <c r="E67" i="14"/>
  <c r="E65" i="14"/>
  <c r="E62" i="14"/>
  <c r="E60" i="14"/>
  <c r="E56" i="14"/>
  <c r="E54" i="14"/>
  <c r="E48" i="14"/>
  <c r="E46" i="14"/>
  <c r="E44" i="14"/>
  <c r="E41" i="14"/>
  <c r="E17" i="14"/>
  <c r="E20" i="14"/>
  <c r="E22" i="14"/>
  <c r="E25" i="14"/>
  <c r="E27" i="14"/>
  <c r="E29" i="14"/>
  <c r="E32" i="14"/>
  <c r="E35" i="14"/>
  <c r="E37" i="14"/>
  <c r="H37" i="14"/>
  <c r="H20" i="14"/>
  <c r="H25" i="14"/>
  <c r="H29" i="14"/>
  <c r="H35" i="14"/>
  <c r="H18" i="14"/>
  <c r="H24" i="14"/>
  <c r="H28" i="14"/>
  <c r="H34" i="14"/>
  <c r="H17" i="14"/>
  <c r="H22" i="14"/>
  <c r="H27" i="14"/>
  <c r="H32" i="14"/>
  <c r="H50" i="14"/>
  <c r="H68" i="14"/>
  <c r="H64" i="14"/>
  <c r="H57" i="14"/>
  <c r="H52" i="14"/>
  <c r="H45" i="14"/>
  <c r="H40" i="14"/>
  <c r="H54" i="14"/>
  <c r="H41" i="14"/>
  <c r="H65" i="14"/>
  <c r="H66" i="14"/>
  <c r="H61" i="14"/>
  <c r="H55" i="14"/>
  <c r="H47" i="14"/>
  <c r="H43" i="14"/>
  <c r="H60" i="14"/>
  <c r="H67" i="14"/>
  <c r="H62" i="14"/>
  <c r="H56" i="14"/>
  <c r="H48" i="14"/>
  <c r="H44" i="14"/>
  <c r="H46" i="14"/>
  <c r="H16" i="14"/>
  <c r="H21" i="14"/>
  <c r="H26" i="14"/>
  <c r="H31" i="14"/>
  <c r="H36" i="14"/>
  <c r="M37" i="14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104" i="14"/>
  <c r="M99" i="14"/>
  <c r="M95" i="14"/>
  <c r="M84" i="14"/>
  <c r="M77" i="14"/>
  <c r="M73" i="14"/>
  <c r="M105" i="14"/>
  <c r="M101" i="14"/>
  <c r="M96" i="14"/>
  <c r="M83" i="14"/>
  <c r="M78" i="14"/>
  <c r="M74" i="14"/>
  <c r="M107" i="14"/>
  <c r="M102" i="14"/>
  <c r="M97" i="14"/>
  <c r="M93" i="14"/>
  <c r="M82" i="14"/>
  <c r="M87" i="14"/>
  <c r="M79" i="14"/>
  <c r="M75" i="14"/>
  <c r="M108" i="14"/>
  <c r="M103" i="14"/>
  <c r="M98" i="14"/>
  <c r="M94" i="14"/>
  <c r="M81" i="14"/>
  <c r="M85" i="14"/>
  <c r="M88" i="14"/>
  <c r="M76" i="14"/>
  <c r="M5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M48" i="14"/>
  <c r="M47" i="14"/>
  <c r="M46" i="14"/>
  <c r="M45" i="14"/>
  <c r="M44" i="14"/>
  <c r="M43" i="14"/>
  <c r="M41" i="14"/>
  <c r="M40" i="14"/>
  <c r="G37" i="14"/>
  <c r="G81" i="14"/>
  <c r="G82" i="14"/>
  <c r="G83" i="14"/>
  <c r="G84" i="14"/>
  <c r="G85" i="14"/>
  <c r="G87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79" i="14"/>
  <c r="G78" i="14"/>
  <c r="G77" i="14"/>
  <c r="G76" i="14"/>
  <c r="G75" i="14"/>
  <c r="G74" i="14"/>
  <c r="G73" i="14"/>
  <c r="G17" i="14"/>
  <c r="G22" i="14"/>
  <c r="G27" i="14"/>
  <c r="G32" i="14"/>
  <c r="G50" i="14"/>
  <c r="G68" i="14"/>
  <c r="G64" i="14"/>
  <c r="G57" i="14"/>
  <c r="G52" i="14"/>
  <c r="G45" i="14"/>
  <c r="G40" i="14"/>
  <c r="G67" i="14"/>
  <c r="G62" i="14"/>
  <c r="G56" i="14"/>
  <c r="G48" i="14"/>
  <c r="G44" i="14"/>
  <c r="G66" i="14"/>
  <c r="G61" i="14"/>
  <c r="G55" i="14"/>
  <c r="G47" i="14"/>
  <c r="G43" i="14"/>
  <c r="G65" i="14"/>
  <c r="G60" i="14"/>
  <c r="G54" i="14"/>
  <c r="G46" i="14"/>
  <c r="G41" i="14"/>
  <c r="G18" i="14"/>
  <c r="G24" i="14"/>
  <c r="G28" i="14"/>
  <c r="G34" i="14"/>
  <c r="G20" i="14"/>
  <c r="G25" i="14"/>
  <c r="G29" i="14"/>
  <c r="G35" i="14"/>
  <c r="G16" i="14"/>
  <c r="G21" i="14"/>
  <c r="G26" i="14"/>
  <c r="G31" i="14"/>
  <c r="G36" i="14"/>
  <c r="F13" i="14"/>
  <c r="F12" i="14"/>
  <c r="F108" i="14"/>
  <c r="F103" i="14"/>
  <c r="F98" i="14"/>
  <c r="F94" i="14"/>
  <c r="F81" i="14"/>
  <c r="F85" i="14"/>
  <c r="F88" i="14"/>
  <c r="F76" i="14"/>
  <c r="F107" i="14"/>
  <c r="F102" i="14"/>
  <c r="F97" i="14"/>
  <c r="F93" i="14"/>
  <c r="F82" i="14"/>
  <c r="F87" i="14"/>
  <c r="F79" i="14"/>
  <c r="F75" i="14"/>
  <c r="F105" i="14"/>
  <c r="F101" i="14"/>
  <c r="F96" i="14"/>
  <c r="F83" i="14"/>
  <c r="F78" i="14"/>
  <c r="F104" i="14"/>
  <c r="F99" i="14"/>
  <c r="F95" i="14"/>
  <c r="F84" i="14"/>
  <c r="F77" i="14"/>
  <c r="F74" i="14"/>
  <c r="F73" i="14"/>
  <c r="F50" i="14"/>
  <c r="F49" i="14" s="1"/>
  <c r="F67" i="14"/>
  <c r="F65" i="14"/>
  <c r="F62" i="14"/>
  <c r="F60" i="14"/>
  <c r="F56" i="14"/>
  <c r="F54" i="14"/>
  <c r="F48" i="14"/>
  <c r="F46" i="14"/>
  <c r="F44" i="14"/>
  <c r="F41" i="14"/>
  <c r="F68" i="14"/>
  <c r="F66" i="14"/>
  <c r="F64" i="14"/>
  <c r="F61" i="14"/>
  <c r="F57" i="14"/>
  <c r="F55" i="14"/>
  <c r="F52" i="14"/>
  <c r="F43" i="14"/>
  <c r="F40" i="14"/>
  <c r="F47" i="14"/>
  <c r="F45" i="14"/>
  <c r="F16" i="14"/>
  <c r="F18" i="14"/>
  <c r="F21" i="14"/>
  <c r="F24" i="14"/>
  <c r="F26" i="14"/>
  <c r="F28" i="14"/>
  <c r="F31" i="14"/>
  <c r="F34" i="14"/>
  <c r="F36" i="14"/>
  <c r="F17" i="14"/>
  <c r="F20" i="14"/>
  <c r="F22" i="14"/>
  <c r="F25" i="14"/>
  <c r="F27" i="14"/>
  <c r="F29" i="14"/>
  <c r="F32" i="14"/>
  <c r="F35" i="14"/>
  <c r="F37" i="14"/>
  <c r="I10" i="14"/>
  <c r="I12" i="14"/>
  <c r="I13" i="14"/>
  <c r="I14" i="14"/>
  <c r="I34" i="14"/>
  <c r="I81" i="14"/>
  <c r="I83" i="14"/>
  <c r="I85" i="14"/>
  <c r="I74" i="14"/>
  <c r="I101" i="14"/>
  <c r="I94" i="14"/>
  <c r="I107" i="14"/>
  <c r="I104" i="14"/>
  <c r="I102" i="14"/>
  <c r="I99" i="14"/>
  <c r="I97" i="14"/>
  <c r="I95" i="14"/>
  <c r="I93" i="14"/>
  <c r="I79" i="14"/>
  <c r="I77" i="14"/>
  <c r="I75" i="14"/>
  <c r="I73" i="14"/>
  <c r="I108" i="14"/>
  <c r="I105" i="14"/>
  <c r="I103" i="14"/>
  <c r="I96" i="14"/>
  <c r="I76" i="14"/>
  <c r="I82" i="14"/>
  <c r="I84" i="14"/>
  <c r="I87" i="14"/>
  <c r="I98" i="14"/>
  <c r="I88" i="14"/>
  <c r="I78" i="14"/>
  <c r="I18" i="14"/>
  <c r="I24" i="14"/>
  <c r="I28" i="14"/>
  <c r="I50" i="14"/>
  <c r="I67" i="14"/>
  <c r="I62" i="14"/>
  <c r="I56" i="14"/>
  <c r="I47" i="14"/>
  <c r="I43" i="14"/>
  <c r="I55" i="14"/>
  <c r="I68" i="14"/>
  <c r="I64" i="14"/>
  <c r="I57" i="14"/>
  <c r="I52" i="14"/>
  <c r="I48" i="14"/>
  <c r="I44" i="14"/>
  <c r="I66" i="14"/>
  <c r="I61" i="14"/>
  <c r="I46" i="14"/>
  <c r="I65" i="14"/>
  <c r="I60" i="14"/>
  <c r="I54" i="14"/>
  <c r="I45" i="14"/>
  <c r="I40" i="14"/>
  <c r="I41" i="14"/>
  <c r="I17" i="14"/>
  <c r="I22" i="14"/>
  <c r="I27" i="14"/>
  <c r="I32" i="14"/>
  <c r="I37" i="14"/>
  <c r="I16" i="14"/>
  <c r="I21" i="14"/>
  <c r="I26" i="14"/>
  <c r="I31" i="14"/>
  <c r="I36" i="14"/>
  <c r="I20" i="14"/>
  <c r="I25" i="14"/>
  <c r="I29" i="14"/>
  <c r="I35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L59" i="14" l="1"/>
  <c r="L86" i="14"/>
  <c r="E86" i="14"/>
  <c r="H59" i="14"/>
  <c r="H63" i="14"/>
  <c r="M59" i="14"/>
  <c r="M86" i="14"/>
  <c r="G86" i="14"/>
  <c r="F86" i="14"/>
  <c r="I59" i="14"/>
  <c r="I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<sst xmlns="http://schemas.openxmlformats.org/spreadsheetml/2006/main" count="4022" uniqueCount="1700">
  <si>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</si>
  <si>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</si>
  <si>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</si>
  <si>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</si>
  <si>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</si>
  <si>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</si>
  <si>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</si>
  <si>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</si>
  <si>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</si>
  <si>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</si>
  <si>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</si>
  <si>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</si>
  <si>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</si>
  <si>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</si>
  <si>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</si>
  <si>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</si>
  <si>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</si>
  <si>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</si>
  <si>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</si>
  <si>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</si>
  <si>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</si>
  <si>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</si>
  <si>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</si>
  <si>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</si>
  <si>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</si>
  <si>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</si>
  <si>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</si>
  <si>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</si>
  <si>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</si>
  <si>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</si>
  <si>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</si>
  <si>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</si>
  <si>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</si>
  <si>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</si>
  <si>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</si>
  <si>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</si>
  <si>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</si>
  <si>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</si>
  <si>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</si>
  <si>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</si>
  <si>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</si>
  <si>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</si>
  <si>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</si>
  <si>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</si>
  <si>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</si>
  <si>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</si>
  <si>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</si>
  <si>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</si>
  <si>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</si>
  <si>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</si>
  <si>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</si>
  <si>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</si>
  <si>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</si>
  <si>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</si>
  <si>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</si>
  <si>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</si>
  <si>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</si>
  <si>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</si>
  <si>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</si>
  <si>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</si>
  <si>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</si>
  <si>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</si>
  <si>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</si>
  <si>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</si>
  <si>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</si>
  <si>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</si>
  <si>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</si>
  <si>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</si>
  <si>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</si>
  <si>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</si>
  <si>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</si>
  <si>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</si>
  <si>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</si>
  <si>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</si>
  <si>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</si>
  <si>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</si>
  <si>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</si>
  <si>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</si>
  <si>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</si>
  <si>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</si>
  <si>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</si>
  <si>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</si>
  <si>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</si>
  <si>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</si>
  <si>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</si>
  <si>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</si>
  <si>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</si>
  <si>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</si>
  <si>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</si>
  <si>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</si>
  <si>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</si>
  <si>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</si>
  <si>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</si>
  <si>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</si>
  <si>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</si>
  <si>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</si>
  <si>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</si>
  <si>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</si>
  <si>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</si>
  <si>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</si>
  <si>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</si>
  <si>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</si>
  <si>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</si>
  <si>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</si>
  <si>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</si>
  <si>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</si>
  <si>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</si>
  <si>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</si>
  <si>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</si>
  <si>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</si>
  <si>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</si>
  <si>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</si>
  <si>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</si>
  <si>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</si>
  <si>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</si>
  <si>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</si>
  <si>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</si>
  <si>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</si>
  <si>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</si>
  <si>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</si>
  <si>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</si>
  <si>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</si>
  <si>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</si>
  <si>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</si>
  <si>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</si>
  <si>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</si>
  <si>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</si>
  <si>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</si>
  <si>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</si>
  <si>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</si>
  <si>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</si>
  <si>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</si>
  <si>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</si>
  <si>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</si>
  <si>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</si>
  <si>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</si>
  <si>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</si>
  <si>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</si>
  <si>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</si>
  <si>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</si>
  <si>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</si>
  <si>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</si>
  <si>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</si>
  <si>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</si>
  <si>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</si>
  <si>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</si>
  <si>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</si>
  <si>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</si>
  <si>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</si>
  <si>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</si>
  <si>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</si>
  <si>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</si>
  <si>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</si>
  <si>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</si>
  <si>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</si>
  <si>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</si>
  <si>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</si>
  <si>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</si>
  <si>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</si>
  <si>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</si>
  <si>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</si>
  <si>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</si>
  <si>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</si>
  <si>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</si>
  <si>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</si>
  <si>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</si>
  <si>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</si>
  <si>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</si>
  <si>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</si>
  <si>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</si>
  <si>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</si>
  <si>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</si>
  <si>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</si>
  <si>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</si>
  <si>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</si>
  <si>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</si>
  <si>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</si>
  <si>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</si>
  <si>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</si>
  <si>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</si>
  <si>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</si>
  <si>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</si>
  <si>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</si>
  <si>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</si>
  <si>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</si>
  <si>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</si>
  <si>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</si>
  <si>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</si>
  <si>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</si>
  <si>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</si>
  <si>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</si>
  <si>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</si>
  <si>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</si>
  <si>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</si>
  <si>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</si>
  <si>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</si>
  <si>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</si>
  <si>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</si>
  <si>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</si>
  <si>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</si>
  <si>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</si>
  <si>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</si>
  <si>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</si>
  <si>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</si>
  <si>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</si>
  <si>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</si>
  <si>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</si>
  <si>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</si>
  <si>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</si>
  <si>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</si>
  <si>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</si>
  <si>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</si>
  <si>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</si>
  <si>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</si>
  <si>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</si>
  <si>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</si>
  <si>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</si>
  <si>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</si>
  <si>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</si>
  <si>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</si>
  <si>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</si>
  <si>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</si>
  <si>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</si>
  <si>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</si>
  <si>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</si>
  <si>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</si>
  <si>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</si>
  <si>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</si>
  <si>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</si>
  <si>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</si>
  <si>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</si>
  <si>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</si>
  <si>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</si>
  <si>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</si>
  <si>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</si>
  <si>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</si>
  <si>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</si>
  <si>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</si>
  <si>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</si>
  <si>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</si>
  <si>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</si>
  <si>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</si>
  <si>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</si>
  <si>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</si>
  <si>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</si>
  <si>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</si>
  <si>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</si>
  <si>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</si>
  <si>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</si>
  <si>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</si>
  <si>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</si>
  <si>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</si>
  <si>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</si>
  <si>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</si>
  <si>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</si>
  <si>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</si>
  <si>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</si>
  <si>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</si>
  <si>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</si>
  <si>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</si>
  <si>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</si>
  <si>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</si>
  <si>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</si>
  <si>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</si>
  <si>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</si>
  <si>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</si>
  <si>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</si>
  <si>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</si>
  <si>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</si>
  <si>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</si>
  <si>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</si>
  <si>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</si>
  <si>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</si>
  <si>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</si>
  <si>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</si>
  <si>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</si>
  <si>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</si>
  <si>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</si>
  <si>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</si>
  <si>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</si>
  <si>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</si>
  <si>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</si>
  <si>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</si>
  <si>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</si>
  <si>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</si>
  <si>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</si>
  <si>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</si>
  <si>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</si>
  <si>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</si>
  <si>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</si>
  <si>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</si>
  <si>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</si>
  <si>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</si>
  <si>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</si>
  <si>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</si>
  <si>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</si>
  <si>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</si>
  <si>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</si>
  <si>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</si>
  <si>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</si>
  <si>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</si>
  <si>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</si>
  <si>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</si>
  <si>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</si>
  <si>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</si>
  <si>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</si>
  <si>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</si>
  <si>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</si>
  <si>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</si>
  <si>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</si>
  <si>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</si>
  <si>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</si>
  <si>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</si>
  <si>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</si>
  <si>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</si>
  <si>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</si>
  <si>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</si>
  <si>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</si>
  <si>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</si>
  <si>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</si>
  <si>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</si>
  <si>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</si>
  <si>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</si>
  <si>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</si>
  <si>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</si>
  <si>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</si>
  <si>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</si>
  <si>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</si>
  <si>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</si>
  <si>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</si>
  <si>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</si>
  <si>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</si>
  <si>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</si>
  <si>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</si>
  <si>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</si>
  <si>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</si>
  <si>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</si>
  <si>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</si>
  <si>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</si>
  <si>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</si>
  <si>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</si>
  <si>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</si>
  <si>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</si>
  <si>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</si>
  <si>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</si>
  <si>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</si>
  <si>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</si>
  <si>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</si>
  <si>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</si>
  <si>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</si>
  <si>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</si>
  <si>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</si>
  <si>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</si>
  <si>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</si>
  <si>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</si>
  <si>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</si>
  <si>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</si>
  <si>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</si>
  <si>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</si>
  <si>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</si>
  <si>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</si>
  <si>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</si>
  <si>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</si>
  <si>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</si>
  <si>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</si>
  <si>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</si>
  <si>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</si>
  <si>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</si>
  <si>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</si>
  <si>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</si>
  <si>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</si>
  <si>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</si>
  <si>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</si>
  <si>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</si>
  <si>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</si>
  <si>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</si>
  <si>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</si>
  <si>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</si>
  <si>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</si>
  <si>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</si>
  <si>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</si>
  <si>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</si>
  <si>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</si>
  <si>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</si>
  <si>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</si>
  <si>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</si>
  <si>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</si>
  <si>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</si>
  <si>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</si>
  <si>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</si>
  <si>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</si>
  <si>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</si>
  <si>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</si>
  <si>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</si>
  <si>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</si>
  <si>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</si>
  <si>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</si>
  <si>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</si>
  <si>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</si>
  <si>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</si>
  <si>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</si>
  <si>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</si>
  <si>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</si>
  <si>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</si>
  <si>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</si>
  <si>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</si>
  <si>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</si>
  <si>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</si>
  <si>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</si>
  <si>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</si>
  <si>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</si>
  <si>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</si>
  <si>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</si>
  <si>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</si>
  <si>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</si>
  <si>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</si>
  <si>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</si>
  <si>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</si>
  <si>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</si>
  <si>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</si>
  <si>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</si>
  <si>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</si>
  <si>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</si>
  <si>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</si>
  <si>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</si>
  <si>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</si>
  <si>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</si>
  <si>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</si>
  <si>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</si>
  <si>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</si>
  <si>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</si>
  <si>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</si>
  <si>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</si>
  <si>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</si>
  <si>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</si>
  <si>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</si>
  <si>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</si>
  <si>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</si>
  <si>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</si>
  <si>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</si>
  <si>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</si>
  <si>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</si>
  <si>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</si>
  <si>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</si>
  <si>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</si>
  <si>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</si>
  <si>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</si>
  <si>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</si>
  <si>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</si>
  <si>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</si>
  <si>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</si>
  <si>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</si>
  <si>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</si>
  <si>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</si>
  <si>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</si>
  <si>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</si>
  <si>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</si>
  <si>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</si>
  <si>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</si>
  <si>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</si>
  <si>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</si>
  <si>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</si>
  <si>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</si>
  <si>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</si>
  <si>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</si>
  <si>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</si>
  <si>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</si>
  <si>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</si>
  <si>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</si>
  <si>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</si>
  <si>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</si>
  <si>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</si>
  <si>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</si>
  <si>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</si>
  <si>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</si>
  <si>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</si>
  <si>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</si>
  <si>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</si>
  <si>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</si>
  <si>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</si>
  <si>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</si>
  <si>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</si>
  <si>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</si>
  <si>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</si>
  <si>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</si>
  <si>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</si>
  <si>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</si>
  <si>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</si>
  <si>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</si>
  <si>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</si>
  <si>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</si>
  <si>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</si>
  <si>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</si>
  <si>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</si>
  <si>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</si>
  <si>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</si>
  <si>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</si>
  <si>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</si>
  <si>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</si>
  <si>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</si>
  <si>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</si>
  <si>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</si>
  <si>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</si>
  <si>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</si>
  <si>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</si>
  <si>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</si>
  <si>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</si>
  <si>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</si>
  <si>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</si>
  <si>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</si>
  <si>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</si>
  <si>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</si>
  <si>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</si>
  <si>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</si>
  <si>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</si>
  <si>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</si>
  <si>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</si>
  <si>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</si>
  <si>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</si>
  <si>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</si>
  <si>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</si>
  <si>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</si>
  <si>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</si>
  <si>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</si>
  <si>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</si>
  <si>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</si>
  <si>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</si>
  <si>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</si>
  <si>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</si>
  <si>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</si>
  <si>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</si>
  <si>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</si>
  <si>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</si>
  <si>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</si>
  <si>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</si>
  <si>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</si>
  <si>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</si>
  <si>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</si>
  <si>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</si>
  <si>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</si>
  <si>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</si>
  <si>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</si>
  <si>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</si>
  <si>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</si>
  <si>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</si>
  <si>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</si>
  <si>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</si>
  <si>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</si>
  <si>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</si>
  <si>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</si>
  <si>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</si>
  <si>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</si>
  <si>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</si>
  <si>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</si>
  <si>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</si>
  <si>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</si>
  <si>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</si>
  <si>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</si>
  <si>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</si>
  <si>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</si>
  <si>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</si>
  <si>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</si>
  <si>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</si>
  <si>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</si>
  <si>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</si>
  <si>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</si>
  <si>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</si>
  <si>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</si>
  <si>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</si>
  <si>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</si>
  <si>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</si>
  <si>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</si>
  <si>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</si>
  <si>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</si>
  <si>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</si>
  <si>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</si>
  <si>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</si>
  <si>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</si>
  <si>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</si>
  <si>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</si>
  <si>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</si>
  <si>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</si>
  <si>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</si>
  <si>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</si>
  <si>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</si>
  <si>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</si>
  <si>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</si>
  <si>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</si>
  <si>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</si>
  <si>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</si>
  <si>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</si>
  <si>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</si>
  <si>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</si>
  <si>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</si>
  <si>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</si>
  <si>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</si>
  <si>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</si>
  <si>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</si>
  <si>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</si>
  <si>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</si>
  <si>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</si>
  <si>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</si>
  <si>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</si>
  <si>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</si>
  <si>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</si>
  <si>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</si>
  <si>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</si>
  <si>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</si>
  <si>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</si>
  <si>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</si>
  <si>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</si>
  <si>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</si>
  <si>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</si>
  <si>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</si>
  <si>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</si>
  <si>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</si>
  <si>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</si>
  <si>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</si>
  <si>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</si>
  <si>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</si>
  <si>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</si>
  <si>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</si>
  <si>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</si>
  <si>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</si>
  <si>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</si>
  <si>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</si>
  <si>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</si>
  <si>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</si>
  <si>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</si>
  <si>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</si>
  <si>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</si>
  <si>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</si>
  <si>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</si>
  <si>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</si>
  <si>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</si>
  <si>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</si>
  <si>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</si>
  <si>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</si>
  <si>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</si>
  <si>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</si>
  <si>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</si>
  <si>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</si>
  <si>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</si>
  <si>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</si>
  <si>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</si>
  <si>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</si>
  <si>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</si>
  <si>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</si>
  <si>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</si>
  <si>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</si>
  <si>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</si>
  <si>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</si>
  <si>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</si>
  <si>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</si>
  <si>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</si>
  <si>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</si>
  <si>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</si>
  <si>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</si>
  <si>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</si>
  <si>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</si>
  <si>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</si>
  <si>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</si>
  <si>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</si>
  <si>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</si>
  <si>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</si>
  <si>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</si>
  <si>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</si>
  <si>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</si>
  <si>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</si>
  <si>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</si>
  <si>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</si>
  <si>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</si>
  <si>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</si>
  <si>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</si>
  <si>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</si>
  <si>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</si>
  <si>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</si>
  <si>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</si>
  <si>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</si>
  <si>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</si>
  <si>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</si>
  <si>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</si>
  <si>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</si>
  <si>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</si>
  <si>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</si>
  <si>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</si>
  <si>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</si>
  <si>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</si>
  <si>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</si>
  <si>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</si>
  <si>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</si>
  <si>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</si>
  <si>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</si>
  <si>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</si>
  <si>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</si>
  <si>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</si>
  <si>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</si>
  <si>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</si>
  <si>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</si>
  <si>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</si>
  <si>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</si>
  <si>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</si>
  <si>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</si>
  <si>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</si>
  <si>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</si>
  <si>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</si>
  <si>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</si>
  <si>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</si>
  <si>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</si>
  <si>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</si>
  <si>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</si>
  <si>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</si>
  <si>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</si>
  <si>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</si>
  <si>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</si>
  <si>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</si>
  <si>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</si>
  <si>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</si>
  <si>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</si>
  <si>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</si>
  <si>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</si>
  <si>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</si>
  <si>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</si>
  <si>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</si>
  <si>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</si>
  <si>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</si>
  <si>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</si>
  <si>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</si>
  <si>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</si>
  <si>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</si>
  <si>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</si>
  <si>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</si>
  <si>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</si>
  <si>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</si>
  <si>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</si>
  <si>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</si>
  <si>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</si>
  <si>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</si>
  <si>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</si>
  <si>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</si>
  <si>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</si>
  <si>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</si>
  <si>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</si>
  <si>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</si>
  <si>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</si>
  <si>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</si>
  <si>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</si>
  <si>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</si>
  <si>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</si>
  <si>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</si>
  <si>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</si>
  <si>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</si>
  <si>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</si>
  <si>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</si>
  <si>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</si>
  <si>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</si>
  <si>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</si>
  <si>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</si>
  <si>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</si>
  <si>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</si>
  <si>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</si>
  <si>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</si>
  <si>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</si>
  <si>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</si>
  <si>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</si>
  <si>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</si>
  <si>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</si>
  <si>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</si>
  <si>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</si>
  <si>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</si>
  <si>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</si>
  <si>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</si>
  <si>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</si>
  <si>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</si>
  <si>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</si>
  <si>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</si>
  <si>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</si>
  <si>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</si>
  <si>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</si>
  <si>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</si>
  <si>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</si>
  <si>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</si>
  <si>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</si>
  <si>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</si>
  <si>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</si>
  <si>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</si>
  <si>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</si>
  <si>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</si>
  <si>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</si>
  <si>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</si>
  <si>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</si>
  <si>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</si>
  <si>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</si>
  <si>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</si>
  <si>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</si>
  <si>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</si>
  <si>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</si>
  <si>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</si>
  <si>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</si>
  <si>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</si>
  <si>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</si>
  <si>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</si>
  <si>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</si>
  <si>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</si>
  <si>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</si>
  <si>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</si>
  <si>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</si>
  <si>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</si>
  <si>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</si>
  <si>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</si>
  <si>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</si>
  <si>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</si>
  <si>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</si>
  <si>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</si>
  <si>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</si>
  <si>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</si>
  <si>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</si>
  <si>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</si>
  <si>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</si>
  <si>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</si>
  <si>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</si>
  <si>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</si>
  <si>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</si>
  <si>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</si>
  <si>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</si>
  <si>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</si>
  <si>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</si>
  <si>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</si>
  <si>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</si>
  <si>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</si>
  <si>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</si>
  <si>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</si>
  <si>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</si>
  <si>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</si>
  <si>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</si>
  <si>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</si>
  <si>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</si>
  <si>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</si>
  <si>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</si>
  <si>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</si>
  <si>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</si>
  <si>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</si>
  <si>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</si>
  <si>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</si>
  <si>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</si>
  <si>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</si>
  <si>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</si>
  <si>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</si>
  <si>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</si>
  <si>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</si>
  <si>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</si>
  <si>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</si>
  <si>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</si>
  <si>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</si>
  <si>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</si>
  <si>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</si>
  <si>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</si>
  <si>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</si>
  <si>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</si>
  <si>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</si>
  <si>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</si>
  <si>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</si>
  <si>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</si>
  <si>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</si>
  <si>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</si>
  <si>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</si>
  <si>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</si>
  <si>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</si>
  <si>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</si>
  <si>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</si>
  <si>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</si>
  <si>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</si>
  <si>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</si>
  <si>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</si>
  <si>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</si>
  <si>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</si>
  <si>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</si>
  <si>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</si>
  <si>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</si>
  <si>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</si>
  <si>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</si>
  <si>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</si>
  <si>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</si>
  <si>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</si>
  <si>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</si>
  <si>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</si>
  <si>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</si>
  <si>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</si>
  <si>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</si>
  <si>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</si>
  <si>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</si>
  <si>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</si>
  <si>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</si>
  <si>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</si>
  <si>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</si>
  <si>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</si>
  <si>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</si>
  <si>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</si>
  <si>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</si>
  <si>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</si>
  <si>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</si>
  <si>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</si>
  <si>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</si>
  <si>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</si>
  <si>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</si>
  <si>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</si>
  <si>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</si>
  <si>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</si>
  <si>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</si>
  <si>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</si>
  <si>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</si>
  <si>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</si>
  <si>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</si>
  <si>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</si>
  <si>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</si>
  <si>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</si>
  <si>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</si>
  <si>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</si>
  <si>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</si>
  <si>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</si>
  <si>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</si>
  <si>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</si>
  <si>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</si>
  <si>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</si>
  <si>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</si>
  <si>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</si>
  <si>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</si>
  <si>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</si>
  <si>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</si>
  <si>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</si>
  <si>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</si>
  <si>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</si>
  <si>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</si>
  <si>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</si>
  <si>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</si>
  <si>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</si>
  <si>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</si>
  <si>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</si>
  <si>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</si>
  <si>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</si>
  <si>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</si>
  <si>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</si>
  <si>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</si>
  <si>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</si>
  <si>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</si>
  <si>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</si>
  <si>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</si>
  <si>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</si>
  <si>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</si>
  <si>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</si>
  <si>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</si>
  <si>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</si>
  <si>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</si>
  <si>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</si>
  <si>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</si>
  <si>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</si>
  <si>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</si>
  <si>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</si>
  <si>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</si>
  <si>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</si>
  <si>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</si>
  <si>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</si>
  <si>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</si>
  <si>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</si>
  <si>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</si>
  <si>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</si>
  <si>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</si>
  <si>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</si>
  <si>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</si>
  <si>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</si>
  <si>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</si>
  <si>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</si>
  <si>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</si>
  <si>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</si>
  <si>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</si>
  <si>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</si>
  <si>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</si>
  <si>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</si>
  <si>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</si>
  <si>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</si>
  <si>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</si>
  <si>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</si>
  <si>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</si>
  <si>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</si>
  <si>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</si>
  <si>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</si>
  <si>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</si>
  <si>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</si>
  <si>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</si>
  <si>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</si>
  <si>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</si>
  <si>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</si>
  <si>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</si>
  <si>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</si>
  <si>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</si>
  <si>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</si>
  <si>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</si>
  <si>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</si>
  <si>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</si>
  <si>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</si>
  <si>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</si>
  <si>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</si>
  <si>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</si>
  <si>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</si>
  <si>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</si>
  <si>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</si>
  <si>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</si>
  <si>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</si>
  <si>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</si>
  <si>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</si>
  <si>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</si>
  <si>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</si>
  <si>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</si>
  <si>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</si>
  <si>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</si>
  <si>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</si>
  <si>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</si>
  <si>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</si>
  <si>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</si>
  <si>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</si>
  <si>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</si>
  <si>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</si>
  <si>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</si>
  <si>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</si>
  <si>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</si>
  <si>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</si>
  <si>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</si>
  <si>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</si>
  <si>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</si>
  <si>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</si>
  <si>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</si>
  <si>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</si>
  <si>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</si>
  <si>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</si>
  <si>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</si>
  <si>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</si>
  <si>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</si>
  <si>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</si>
  <si>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</si>
  <si>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</si>
  <si>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</si>
  <si>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</si>
  <si>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</si>
  <si>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</si>
  <si>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</si>
  <si>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</si>
  <si>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</si>
  <si>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</si>
  <si>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</si>
  <si>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</si>
  <si>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</si>
  <si>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</si>
  <si>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</si>
  <si>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</si>
  <si>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</si>
  <si>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</si>
  <si>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</si>
  <si>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</si>
  <si>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</si>
  <si>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</si>
  <si>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</si>
  <si>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</si>
  <si>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</si>
  <si>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</si>
  <si>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</si>
  <si>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</si>
  <si>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</si>
  <si>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</si>
  <si>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</si>
  <si>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</si>
  <si>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</si>
  <si>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</si>
  <si>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</si>
  <si>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</si>
  <si>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</si>
  <si>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</si>
  <si>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</si>
  <si>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</si>
  <si>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</si>
  <si>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</si>
  <si>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</si>
  <si>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</si>
  <si>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</si>
  <si>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</si>
  <si>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</si>
  <si>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</si>
  <si>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</si>
  <si>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</si>
  <si>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</si>
  <si>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</si>
  <si>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</si>
  <si>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</si>
  <si>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</si>
  <si>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</si>
  <si>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</si>
  <si>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</si>
  <si>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</si>
  <si>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</si>
  <si>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</si>
  <si>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</si>
  <si>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</si>
  <si>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</si>
  <si>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</si>
  <si>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</si>
  <si>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</si>
  <si>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</si>
  <si>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</si>
  <si>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</si>
  <si>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</si>
  <si>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</si>
  <si>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</si>
  <si>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</si>
  <si>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</si>
  <si>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</si>
  <si>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</si>
  <si>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</si>
  <si>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</si>
  <si>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</si>
  <si>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</si>
  <si>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</si>
  <si>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</si>
  <si>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</si>
  <si>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</si>
  <si>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</si>
  <si>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</si>
  <si>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</si>
  <si>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</si>
  <si>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</si>
  <si>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</si>
  <si>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</si>
  <si>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</si>
  <si>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</si>
  <si>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</si>
  <si>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</si>
  <si>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</si>
  <si>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</si>
  <si>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</si>
  <si>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</si>
  <si>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</si>
  <si>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</si>
  <si>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</si>
  <si>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</si>
  <si>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</si>
  <si>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</si>
  <si>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</si>
  <si>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</si>
  <si>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</si>
  <si>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</si>
  <si>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</si>
  <si>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</si>
  <si>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</si>
  <si>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</si>
  <si>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</si>
  <si>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</si>
  <si>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</si>
  <si>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</si>
  <si>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</si>
  <si>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</si>
  <si>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</si>
  <si>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</si>
  <si>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</si>
  <si>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</si>
  <si>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</si>
  <si>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</si>
  <si>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</si>
  <si>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</si>
  <si>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</si>
  <si>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</si>
  <si>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</si>
  <si>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</si>
  <si>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</si>
  <si>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</si>
  <si>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</si>
  <si>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</si>
  <si>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</si>
  <si>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</si>
  <si>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</si>
  <si>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</si>
  <si>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</si>
  <si>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</si>
  <si>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</si>
  <si>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</si>
  <si>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</si>
  <si>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</si>
  <si>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</si>
  <si>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</si>
  <si>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</si>
  <si>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</si>
  <si>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</si>
  <si>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</si>
  <si>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</si>
  <si>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</si>
  <si>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</si>
  <si>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</si>
  <si>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</si>
  <si>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</si>
  <si>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</si>
  <si>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</si>
  <si>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</si>
  <si>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</si>
  <si>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</si>
  <si>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</si>
  <si>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</si>
  <si>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</si>
  <si>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</si>
  <si>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</si>
  <si>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</si>
  <si>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</si>
  <si>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</si>
  <si>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</si>
  <si>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</si>
  <si>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</si>
  <si>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</si>
  <si>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</si>
  <si>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</si>
  <si>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</si>
  <si>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</si>
  <si>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</si>
  <si>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</si>
  <si>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</si>
  <si>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</si>
  <si>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</si>
  <si>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</si>
  <si>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</si>
  <si>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</si>
  <si>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</si>
  <si>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</si>
  <si>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</si>
  <si>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</si>
  <si>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</si>
  <si>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</si>
  <si>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</si>
  <si>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</si>
  <si>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</si>
  <si>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</si>
  <si>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</si>
  <si>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</si>
  <si>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</si>
  <si>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</si>
  <si>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</si>
  <si>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</si>
  <si>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</si>
  <si>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</si>
  <si>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</si>
  <si>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</si>
  <si>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</si>
  <si>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</si>
  <si>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</si>
  <si>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</si>
  <si>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</si>
  <si>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</si>
  <si>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</si>
  <si>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</si>
  <si>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</si>
  <si>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</si>
  <si>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</si>
  <si>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</si>
  <si>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</si>
  <si>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</si>
  <si>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</si>
  <si>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</si>
  <si>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</si>
  <si>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</si>
  <si>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</si>
  <si>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</si>
  <si>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</si>
  <si>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</si>
  <si>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</si>
  <si>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</si>
  <si>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</si>
  <si>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</si>
  <si>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</si>
  <si>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</si>
  <si>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</si>
  <si>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</si>
  <si>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</si>
  <si>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</si>
  <si>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</si>
  <si>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</si>
  <si>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</si>
  <si>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</si>
  <si>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</si>
  <si>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</si>
  <si>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</si>
  <si>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</si>
  <si>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</si>
  <si>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</si>
  <si>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</si>
  <si>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</si>
  <si>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</si>
  <si>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</si>
  <si>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</si>
  <si>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</si>
  <si>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</si>
  <si>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</si>
  <si>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</si>
  <si>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</si>
  <si>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</si>
  <si>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</si>
  <si>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</si>
  <si>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</si>
  <si>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</si>
  <si>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</si>
  <si>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</si>
  <si>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</si>
  <si>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</si>
  <si>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</si>
  <si>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</si>
  <si>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</si>
  <si>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</si>
  <si>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</si>
  <si>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</si>
  <si>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</si>
  <si>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</si>
  <si>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</si>
  <si>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</si>
  <si>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</si>
  <si>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</si>
  <si>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</si>
  <si>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</si>
  <si>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</si>
  <si>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</si>
  <si>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</si>
  <si>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</si>
  <si>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</si>
  <si>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</si>
  <si>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</si>
  <si>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</si>
  <si>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</si>
  <si>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</si>
  <si>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</si>
  <si>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</si>
  <si>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</si>
  <si>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</si>
  <si>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</si>
  <si>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</si>
  <si>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</si>
  <si>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</si>
  <si>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</si>
  <si>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</si>
  <si>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</si>
  <si>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</si>
  <si>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</si>
  <si>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</si>
  <si>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</si>
  <si>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</si>
  <si>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</si>
  <si>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</si>
  <si>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</si>
  <si>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</si>
  <si>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</si>
  <si>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</si>
  <si>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</si>
  <si>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</si>
  <si>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</si>
  <si>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</si>
  <si>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</si>
  <si>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</si>
  <si>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</si>
  <si>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</si>
  <si>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</si>
  <si>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</si>
  <si>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</si>
  <si>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</si>
  <si>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</si>
  <si>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</si>
  <si>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</si>
  <si>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</si>
  <si>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</si>
  <si>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</si>
  <si>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</si>
  <si>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</si>
  <si>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</si>
  <si>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</si>
  <si>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</si>
  <si>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</si>
  <si>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</si>
  <si>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</si>
  <si>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</si>
  <si>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</si>
  <si>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</si>
  <si>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</si>
  <si>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</si>
  <si>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</si>
  <si>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</si>
  <si>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</si>
  <si>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</si>
  <si>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</si>
  <si>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</si>
  <si>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</si>
  <si>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</si>
  <si>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</si>
  <si>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</si>
  <si>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</si>
  <si>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</si>
  <si>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</si>
  <si>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</si>
  <si>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</si>
  <si>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</si>
  <si>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</si>
  <si>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</si>
  <si>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</si>
  <si>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</si>
  <si>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</si>
  <si>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</si>
  <si>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</si>
  <si>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</si>
  <si>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</si>
  <si>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</si>
  <si>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</si>
  <si>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</si>
  <si>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</si>
  <si>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</si>
  <si>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</si>
  <si>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</si>
  <si>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</si>
  <si>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</si>
  <si>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</si>
  <si>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</si>
  <si>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</si>
  <si>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</si>
  <si>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</si>
  <si>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</si>
  <si>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</si>
  <si>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</si>
  <si>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</si>
  <si>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</si>
  <si>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</si>
  <si>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</si>
  <si>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</si>
  <si>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</si>
  <si>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</si>
  <si>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</si>
  <si>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</si>
  <si>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</si>
  <si>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</si>
  <si>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</si>
  <si>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</si>
  <si>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</si>
  <si>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</si>
  <si>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</si>
  <si>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</si>
  <si>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</si>
  <si>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</si>
  <si>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</si>
  <si>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</si>
  <si>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</si>
  <si>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</si>
  <si>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</si>
  <si>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</si>
  <si>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</si>
  <si>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</si>
  <si>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</si>
  <si>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</si>
  <si>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</si>
  <si>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</si>
  <si>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</si>
  <si>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</si>
  <si>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</si>
  <si>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</si>
  <si>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</si>
  <si>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</si>
  <si>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</si>
  <si>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</si>
  <si>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</si>
  <si>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</si>
  <si>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</si>
  <si>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</si>
  <si>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</si>
  <si>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</si>
  <si>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</si>
  <si>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</si>
  <si>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</si>
  <si>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</si>
  <si>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</si>
  <si>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</si>
  <si>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</si>
  <si>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</si>
  <si>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</si>
  <si>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</si>
  <si>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</si>
  <si>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</si>
  <si>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</si>
  <si>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</si>
  <si>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</si>
  <si>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</si>
  <si>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</si>
  <si>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</si>
  <si>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</si>
  <si>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</si>
  <si>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</si>
  <si>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</si>
  <si>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</si>
  <si>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</si>
  <si>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</si>
  <si>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</si>
  <si>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</si>
  <si>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</si>
  <si>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</si>
  <si>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</si>
  <si>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</si>
  <si>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</si>
  <si>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</si>
  <si>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</si>
  <si>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</si>
  <si>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</si>
  <si>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</si>
  <si>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</si>
  <si>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</si>
  <si>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</si>
  <si>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</si>
  <si>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</si>
  <si>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</si>
  <si>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</si>
  <si>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</si>
  <si>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</si>
  <si>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</si>
  <si>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</si>
  <si>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</si>
  <si>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</si>
  <si>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</si>
  <si>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</si>
  <si>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</si>
  <si>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</si>
  <si>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</si>
  <si>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</si>
  <si>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</si>
  <si>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</si>
  <si>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</si>
  <si>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</si>
  <si>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</si>
  <si>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</si>
  <si>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</si>
  <si>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</si>
  <si>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</si>
  <si>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</si>
  <si>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</si>
  <si>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</si>
  <si>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</si>
  <si>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</si>
  <si>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</si>
  <si>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</si>
  <si>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</si>
  <si>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</si>
  <si>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</si>
  <si>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</si>
  <si>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</si>
  <si>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</si>
  <si>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</si>
  <si>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</si>
  <si>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</si>
  <si>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</si>
  <si>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</si>
  <si>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</si>
  <si>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</si>
  <si>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</si>
  <si>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</si>
  <si>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</si>
  <si>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</si>
  <si>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</si>
  <si>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</si>
  <si>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</si>
  <si>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</si>
  <si>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</si>
  <si>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</si>
  <si>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</si>
  <si>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</si>
  <si>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</si>
  <si>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</si>
  <si>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</si>
  <si>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</si>
  <si>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</si>
  <si>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</si>
  <si>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</si>
  <si>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</si>
  <si>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</si>
  <si>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</si>
  <si>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</si>
  <si>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</si>
  <si>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</si>
  <si>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</si>
  <si>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</si>
  <si>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</si>
  <si>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</si>
  <si>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</si>
  <si>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</si>
  <si>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</si>
  <si>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</si>
  <si>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</si>
  <si>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</si>
  <si>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</si>
  <si>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</si>
  <si>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</si>
  <si>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</si>
  <si>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</si>
  <si>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</si>
  <si>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</si>
  <si>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</si>
  <si>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</si>
  <si>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</si>
  <si>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</si>
  <si>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</si>
  <si>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</si>
  <si>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</si>
  <si>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</si>
  <si>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</si>
  <si>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</si>
  <si>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</si>
  <si>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</si>
  <si>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</si>
  <si>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</si>
  <si>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</si>
  <si>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</si>
  <si>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</si>
  <si>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</si>
  <si>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</si>
  <si>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</si>
  <si>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</si>
  <si>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</si>
  <si>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</si>
  <si>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</si>
  <si>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</si>
  <si>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</si>
  <si>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</si>
  <si>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</si>
  <si>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</si>
  <si>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</si>
  <si>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</si>
  <si>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</si>
  <si>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</si>
  <si>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</si>
  <si>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</si>
  <si>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</si>
  <si>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</si>
  <si>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</si>
  <si>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</si>
  <si>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</si>
  <si>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</si>
  <si>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</si>
  <si>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</si>
  <si>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</si>
  <si>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</si>
  <si>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</si>
  <si>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</si>
  <si>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</si>
  <si>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</si>
  <si>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</si>
  <si>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</si>
  <si>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</si>
  <si>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</si>
  <si>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</si>
  <si>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</si>
  <si>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</si>
  <si>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</si>
  <si>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</si>
  <si>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</si>
  <si>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</si>
  <si>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</si>
  <si>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</si>
  <si>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</si>
  <si>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</si>
  <si>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</si>
  <si>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</si>
  <si>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</si>
  <si>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</si>
  <si>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2225 SVEUČILIŠTE U RIJECI - MEDICINSKI FAKULTET</t>
  </si>
  <si>
    <t>Rijeka, 20.09.2019.</t>
  </si>
  <si>
    <t>Aleksandar Đukić, dipl. oec.</t>
  </si>
  <si>
    <t>051/651-116</t>
  </si>
  <si>
    <t>aleksandar.dukic@medri.uniri.hr</t>
  </si>
  <si>
    <t>080/08006</t>
  </si>
  <si>
    <t>Prof. dr. sc. Tomislav Rukavina</t>
  </si>
  <si>
    <t>Augmenting and broadening T-cell responses to glioblastoma - therapeutic vaccine platform based on HCMV expressing NKG2D ligand - GLIOVACC</t>
  </si>
  <si>
    <t>Europska komisija</t>
  </si>
  <si>
    <t>Projekt Europskog društva za izučavanje traumatskog stresa.</t>
  </si>
  <si>
    <t>Nedefinirano</t>
  </si>
  <si>
    <t>EUROPEAN SOCIETY FOR TRAUMATIC STRESS STUDIES</t>
  </si>
  <si>
    <t>Jačanje kapaciteta za izučavanje medicine boli u sustavu visokog obrazovanja u zemljama zapadnog Balkana.</t>
  </si>
  <si>
    <t>ERASMUS MC</t>
  </si>
  <si>
    <t>Proučavanje socijalnog angažmana za rješavanje izazova kroničnih bolesti.</t>
  </si>
  <si>
    <t>UNIVERSITAT POLITECNICA DE VALENCIA</t>
  </si>
  <si>
    <t>PIXEL će omogućiti dvosmjernu suradnju luka, multimodalnih transportnih agenata i gradova za optimalno korištenje unutarnjih i vanjskih resursa, održivog gospodarskog rasta i ublažavanja utjecaja na okoliš, prema lukama budućnosti. PIXEL će iskoristiti tehnološke mogućnosti za dobrovoljne razmjene podataka među lukama i zainteresiranim stranama, čime se osigurava mjerljiva korist u tom procesu. Glavni ishod ove tehnologije bit će učinkovito korištenje resursa u lukama, održivi razvoj i zeleni rast luka i okolnih gradova / regija.</t>
  </si>
  <si>
    <t>Family caregiver support - strategies and tools to promote caregivers' mental and emotional health</t>
  </si>
  <si>
    <t>E-C-C VEREIN</t>
  </si>
  <si>
    <t>HERA - Healthcare as a public space: Social integration and social diversity in the context of access to healthcare in Europe</t>
  </si>
  <si>
    <t>UNIVERSITATSKLINIKUM ULM</t>
  </si>
  <si>
    <t>VALUECARE - VALUE-BASED METHODOLOGY FOR INTEGRATED CARE SUPPORTED BY ICT</t>
  </si>
  <si>
    <t>EUROPSKA KOMISIJA</t>
  </si>
  <si>
    <t>New Cytomegaloviral vaccine vector concepts</t>
  </si>
  <si>
    <t>HELMHOLTZ-GEMEINSCHAFT</t>
  </si>
  <si>
    <t>Solving the m04 paradox: Evasion of missing self recognition and CD8 T cell killing by MAT uORF</t>
  </si>
  <si>
    <t>DEUTSCHE FORSCHUNGSGEMEINSCHAFT</t>
  </si>
  <si>
    <t>Istraživanje novog pristupa u razvoju cjepiva za glioblastoma multiforme, najzloćudnijeg oblika tumora na mozgu.</t>
  </si>
  <si>
    <t>Projekt čiji je cilj podrška članovima obitelji i skrbnicima osoba s kroničnim mentalnim bolestima kroz razvoj novih strategija i alata za promicanje mentalnog i emocionalnog zdravlja njegovatelja.</t>
  </si>
  <si>
    <t>Projekt koji proučava društvene raznolikosti u javnom zdravstvenom sustavu i javnim prostorima zdravstvenog sustava. Rezultati projekta pružit će znanje o stanju i stupnju primjene europskih smjernica u nacionalnim zakonodavstvima i u svakodnevnoj praksi zdravstvene zaštite te će pružiti zdravstvenim radnicima znanja o tome kako provesti i integrirati pitanje socijalne raznolikosti u svoju medicinsku praksu.</t>
  </si>
  <si>
    <t>Projekt koji za cilj ima razvoj vrijednosno utemeljene metodologije za integriranu skrb s naglaskom na informacijsko-komunikacijsku tehnologiju.</t>
  </si>
  <si>
    <t>Projekt čiji je cilj razvoj i testiranje cjepiva na temelju genetske platforme i jedinstvenih svojstava mišjeg citomegalovirusa.</t>
  </si>
  <si>
    <t>Tijekom ovog projekta razjasnit ćemo temeljni molekularni mehanizam i raščlaniti na koji način on omogućuje virusu da istodobno izbjegne i ubijanje i samoprepoznavanje NK stanica. Također ćemo razjasniti molekularnu osnovu za prepoznavanje manipulacije virusom MHC-I aktiviranjem NK staničnih receptora kao i njegovu funkcionalnu važnost in vivo.</t>
  </si>
  <si>
    <t>Cilj projekta je podići istraživački kapacitet i održivost ZCI-ja za provođenje graničnih istraživanja i formiranje vrhunskih stručnjaka u području virusne imunologije i vakcinologije. U okviru ovog projekta istražuju  se interakcije virusa i imunološkog sustava domaćina kako bi se dokučili razlozi zbog kojih je naš imunološki odgovor često nedostatan za obranu od infekcija i tumora – koji spadaju prema WHO (eng. World Health Organization) među vodeće uzročnike smrti u svijetu.</t>
  </si>
  <si>
    <t>Ministarstvo znanosti i obrazovanja 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</si>
</sst>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10"/>
      <color indexed="8"/>
      <name val="MS Sans Serif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6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  <xf numFmtId="0" fontId="6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6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2 2" xfId="75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9" workbookViewId="0">
      <selection activeCell="C7" sqref="C7:E7"/>
    </sheetView>
  </sheetViews>
  <sheetFormatPr defaultColWidth="0" defaultRowHeight="13.2" zeroHeight="1"/>
  <cols>
    <col min="1" max="1" width="7.5546875" style="155" customWidth="1"/>
    <col min="2" max="2" width="36.109375" style="155" bestFit="1" customWidth="1"/>
    <col min="3" max="3" width="21.44140625" style="155" customWidth="1"/>
    <col min="4" max="4" width="21.109375" style="155" customWidth="1"/>
    <col min="5" max="5" width="21.6640625" style="155" customWidth="1"/>
    <col min="6" max="6" width="11.44140625" style="155" customWidth="1"/>
    <col min="7" max="12" width="11.44140625" style="155" hidden="1" customWidth="1"/>
    <col min="13" max="13" width="7.88671875" style="155" hidden="1" customWidth="1"/>
    <col min="14" max="14" width="41.33203125" style="155" hidden="1" customWidth="1"/>
    <col min="15" max="28" width="11.44140625" style="155" hidden="1" customWidth="1"/>
    <col min="29" max="16384" width="14.441406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2" t="s">
        <v>1665</v>
      </c>
      <c r="D3" s="253"/>
      <c r="E3" s="254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" thickBot="1">
      <c r="A4" s="156"/>
      <c r="B4" s="209" t="s">
        <v>0</v>
      </c>
      <c r="C4" s="255" t="s">
        <v>1666</v>
      </c>
      <c r="D4" s="256"/>
      <c r="E4" s="257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" thickBot="1">
      <c r="A5" s="157"/>
      <c r="B5" s="209" t="s">
        <v>1</v>
      </c>
      <c r="C5" s="255" t="s">
        <v>1667</v>
      </c>
      <c r="D5" s="256"/>
      <c r="E5" s="257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" thickBot="1">
      <c r="A6" s="160"/>
      <c r="B6" s="209" t="s">
        <v>2</v>
      </c>
      <c r="C6" s="255" t="s">
        <v>1668</v>
      </c>
      <c r="D6" s="256"/>
      <c r="E6" s="257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" thickBot="1">
      <c r="A7" s="160"/>
      <c r="B7" s="209" t="s">
        <v>383</v>
      </c>
      <c r="C7" s="255" t="s">
        <v>1669</v>
      </c>
      <c r="D7" s="256"/>
      <c r="E7" s="257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4.4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0" t="s">
        <v>842</v>
      </c>
      <c r="C9" s="259"/>
      <c r="D9" s="259"/>
      <c r="E9" s="259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0" t="s">
        <v>3</v>
      </c>
      <c r="C10" s="259"/>
      <c r="D10" s="259"/>
      <c r="E10" s="259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8"/>
      <c r="C11" s="259"/>
      <c r="D11" s="259"/>
      <c r="E11" s="259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116150546</v>
      </c>
      <c r="D14" s="173">
        <f>+D15+D16</f>
        <v>118976195</v>
      </c>
      <c r="E14" s="173">
        <f>+E15+E16</f>
        <v>122716909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116127546</v>
      </c>
      <c r="D15" s="176">
        <f>'PLAN PRIHODA I PRIMITAKA '!C62</f>
        <v>118951195</v>
      </c>
      <c r="E15" s="176">
        <f>'PLAN PRIHODA I PRIMITAKA '!C98</f>
        <v>122689909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23000</v>
      </c>
      <c r="D16" s="176">
        <f>'PLAN PRIHODA I PRIMITAKA '!C69</f>
        <v>25000</v>
      </c>
      <c r="E16" s="176">
        <f>'PLAN PRIHODA I PRIMITAKA '!C105</f>
        <v>27000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117998691</v>
      </c>
      <c r="D17" s="180">
        <f>+D18+D19</f>
        <v>112328792</v>
      </c>
      <c r="E17" s="180">
        <f>+E18+E19</f>
        <v>113233667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107970237</v>
      </c>
      <c r="D18" s="182">
        <f>'PLAN RASHODA I IZDATAKA'!C72</f>
        <v>108487539</v>
      </c>
      <c r="E18" s="182">
        <f>'PLAN RASHODA I IZDATAKA'!C92</f>
        <v>109378914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10028454</v>
      </c>
      <c r="D19" s="182">
        <f>'PLAN RASHODA I IZDATAKA'!C80</f>
        <v>3841253</v>
      </c>
      <c r="E19" s="182">
        <f>'PLAN RASHODA I IZDATAKA'!C100</f>
        <v>3854753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-1848145</v>
      </c>
      <c r="D20" s="173">
        <f>+D14-D17</f>
        <v>6647403</v>
      </c>
      <c r="E20" s="173">
        <f>+E14-E17</f>
        <v>9483242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8"/>
      <c r="C21" s="259"/>
      <c r="D21" s="259"/>
      <c r="E21" s="259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28.8">
      <c r="A23" s="183" t="s">
        <v>11</v>
      </c>
      <c r="B23" s="183" t="s">
        <v>12</v>
      </c>
      <c r="C23" s="181">
        <f>'PLAN PRIHODA I PRIMITAKA '!C5</f>
        <v>10840000</v>
      </c>
      <c r="D23" s="181">
        <f>'PLAN PRIHODA I PRIMITAKA '!C41</f>
        <v>7991855</v>
      </c>
      <c r="E23" s="181">
        <f>'PLAN PRIHODA I PRIMITAKA '!C77</f>
        <v>13639258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28.8">
      <c r="A24" s="183" t="s">
        <v>13</v>
      </c>
      <c r="B24" s="183" t="s">
        <v>14</v>
      </c>
      <c r="C24" s="185">
        <f>'PLAN PRIHODA I PRIMITAKA '!C7</f>
        <v>-7991855</v>
      </c>
      <c r="D24" s="185">
        <f>'PLAN PRIHODA I PRIMITAKA '!C43</f>
        <v>-13639258</v>
      </c>
      <c r="E24" s="186">
        <f>'PLAN PRIHODA I PRIMITAKA '!C79</f>
        <v>-22522500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8"/>
      <c r="C25" s="259"/>
      <c r="D25" s="259"/>
      <c r="E25" s="259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28.8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28.8">
      <c r="A28" s="175">
        <v>5</v>
      </c>
      <c r="B28" s="172" t="s">
        <v>16</v>
      </c>
      <c r="C28" s="176">
        <f>'PLAN RASHODA I IZDATAKA'!C58</f>
        <v>1000000</v>
      </c>
      <c r="D28" s="176">
        <f>'PLAN RASHODA I IZDATAKA'!C86</f>
        <v>1000000</v>
      </c>
      <c r="E28" s="176">
        <f>'PLAN RASHODA I IZDATAKA'!C106</f>
        <v>600000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-1000000</v>
      </c>
      <c r="D29" s="180">
        <f>+D27-D28</f>
        <v>-1000000</v>
      </c>
      <c r="E29" s="180">
        <f>+E27-E28</f>
        <v>-600000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8"/>
      <c r="C30" s="259"/>
      <c r="D30" s="259"/>
      <c r="E30" s="259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28.8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4.4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4.4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4.4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4.4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4.4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4.4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4.4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4.4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4.4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4.4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4.4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4.4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4.4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4.4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4.4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4.4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4.4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4.4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4.4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4.4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4.4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4.4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4.4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4.4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4.4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4.4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4.4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4.4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4.4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4.4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4.4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4.4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4.4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4.4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4.4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4.4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4.4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4.4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4.4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4.4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4.4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4.4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4.4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4.4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4.4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4.4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4.4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4.4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4.4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4.4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4.4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4.4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4.4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4.4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4.4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4.4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4.4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4.4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4.4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4.4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4.4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4.4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4.4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4.4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4.4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4.4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4.4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4.4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4.4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4.4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4.4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4.4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4.4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4.4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4.4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4.4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4.4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4.4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4.4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4.4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4.4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4.4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4.4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4.4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4.4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4.4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4.4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4.4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4.4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4.4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4.4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4.4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4.4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4.4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4.4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4.4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4.4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4.4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4.4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4.4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4.4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4.4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4.4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4.4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4.4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4.4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4.4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4.4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4.4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4.4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4.4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4.4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4.4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4.4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4.4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4.4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4.4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4.4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4.4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4.4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4.4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4.4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4.4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4.4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4.4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4.4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4.4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4.4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4.4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4.4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4.4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4.4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4.4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4.4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4.4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4.4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4.4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4.4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4.4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4.4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4.4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4.4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4.4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4.4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4.4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4.4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4.4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4.4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4.4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4.4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4.4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4.4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4.4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4.4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4.4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4.4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4.4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4.4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4.4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4.4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4.4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4.4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4.4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4.4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4.4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4.4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4.4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4.4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4.4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4.4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4.4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4.4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4.4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4.4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4.4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4.4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4.4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4.4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4.4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4.4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4.4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4.4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4.4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4.4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4.4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4.4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4.4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4.4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4.4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4.4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4.4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4.4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4.4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4.4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4.4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4.4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4.4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4.4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4.4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4.4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4.4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4.4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4.4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4.4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4.4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4.4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4.4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4.4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4.4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4.4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4.4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4.4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4.4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4.4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4.4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4.4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4.4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4.4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4.4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4.4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4.4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4.4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4.4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4.4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4.4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4.4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4.4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4.4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4.4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4.4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4.4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4.4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4.4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4.4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4.4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4.4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4.4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4.4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4.4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4.4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4.4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4.4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4.4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4.4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4.4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4.4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4.4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4.4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4.4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4.4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4.4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4.4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4.4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4.4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4.4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4.4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4.4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4.4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4.4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4.4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4.4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4.4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4.4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4.4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4.4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4.4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4.4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4.4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4.4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4.4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4.4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4.4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4.4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4.4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4.4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4.4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4.4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4.4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4.4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4.4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4.4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4.4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4.4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4.4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4.4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4.4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4.4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4.4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4.4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4.4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4.4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4.4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4.4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4.4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4.4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4.4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4.4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4.4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4.4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4.4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4.4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4.4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4.4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4.4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4.4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4.4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4.4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4.4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4.4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4.4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4.4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4.4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4.4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4.4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4.4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4.4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4.4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4.4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4.4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4.4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4.4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4.4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4.4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4.4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4.4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4.4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4.4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4.4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4.4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4.4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4.4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4.4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4.4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4.4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4.4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4.4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4.4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4.4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4.4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4.4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4.4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4.4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4.4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4.4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4.4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4.4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4.4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4.4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4.4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4.4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4.4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4.4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4.4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4.4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4.4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4.4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4.4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4.4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4.4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4.4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4.4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4.4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4.4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4.4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4.4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4.4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4.4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4.4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4.4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4.4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4.4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4.4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4.4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4.4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4.4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4.4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4.4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4.4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4.4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4.4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4.4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4.4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4.4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4.4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4.4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4.4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4.4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4.4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4.4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4.4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4.4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4.4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4.4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4.4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4.4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4.4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4.4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4.4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4.4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4.4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4.4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4.4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4.4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4.4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4.4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4.4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4.4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4.4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4.4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4.4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4.4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4.4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4.4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4.4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4.4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4.4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4.4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4.4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4.4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4.4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4.4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4.4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4.4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4.4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4.4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4.4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4.4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4.4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4.4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4.4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4.4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4.4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4.4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4.4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4.4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4.4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4.4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4.4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4.4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4.4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4.4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4.4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4.4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4.4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4.4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4.4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4.4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4.4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4.4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4.4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4.4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4.4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4.4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4.4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4.4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4.4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4.4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4.4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4.4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4.4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4.4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4.4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4.4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4.4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4.4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4.4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4.4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4.4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4.4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4.4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4.4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4.4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4.4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4.4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4.4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4.4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4.4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4.4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4.4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4.4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4.4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4.4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4.4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4.4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4.4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4.4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4.4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4.4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4.4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4.4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4.4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4.4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4.4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4.4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4.4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4.4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4.4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4.4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4.4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4.4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4.4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4.4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4.4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4.4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4.4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4.4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4.4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4.4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4.4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4.4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4.4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4.4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4.4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4.4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4.4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4.4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4.4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4.4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4.4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4.4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4.4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4.4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4.4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4.4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4.4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4.4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4.4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4.4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4.4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4.4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4.4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4.4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4.4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4.4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4.4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4.4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4.4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4.4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4.4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4.4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4.4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4.4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4.4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4.4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4.4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4.4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4.4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4.4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4.4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4.4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4.4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4.4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4.4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4.4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4.4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4.4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4.4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4.4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4.4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4.4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4.4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4.4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4.4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4.4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4.4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4.4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4.4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4.4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4.4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4.4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4.4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4.4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4.4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4.4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4.4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4.4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4.4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4.4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4.4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4.4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4.4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4.4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4.4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4.4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4.4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4.4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4.4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4.4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4.4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4.4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4.4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4.4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4.4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4.4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4.4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4.4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4.4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4.4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4.4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4.4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4.4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4.4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4.4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4.4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4.4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4.4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4.4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4.4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4.4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4.4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4.4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4.4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4.4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4.4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4.4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4.4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4.4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4.4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4.4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4.4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4.4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4.4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4.4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4.4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4.4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4.4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4.4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4.4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4.4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4.4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4.4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4.4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4.4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4.4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4.4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4.4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4.4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4.4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4.4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4.4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4.4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4.4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4.4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4.4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4.4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4.4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4.4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4.4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4.4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4.4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4.4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4.4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4.4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4.4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4.4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4.4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4.4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4.4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4.4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4.4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4.4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4.4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4.4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4.4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4.4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4.4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4.4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4.4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4.4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4.4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4.4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4.4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4.4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4.4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4.4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4.4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4.4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4.4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4.4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4.4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4.4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4.4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4.4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4.4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4.4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4.4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4.4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4.4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4.4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4.4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4.4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4.4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4.4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4.4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4.4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4.4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4.4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4.4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4.4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4.4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4.4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4.4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4.4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4.4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4.4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4.4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4.4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4.4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4.4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4.4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4.4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4.4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4.4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4.4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4.4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4.4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4.4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4.4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4.4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4.4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4.4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4.4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4.4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4.4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4.4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4.4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4.4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4.4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4.4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4.4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4.4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4.4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4.4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4.4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4.4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4.4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4.4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4.4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4.4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4.4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4.4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4.4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4.4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4.4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4.4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4.4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4.4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4.4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4.4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4.4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4.4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4.4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4.4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4.4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4.4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4.4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4.4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4.4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4.4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4.4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4.4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4.4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4.4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4.4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4.4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4.4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4.4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4.4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4.4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4.4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4.4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4.4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4.4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4.4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4.4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4.4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4.4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4.4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4.4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4.4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4.4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4.4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4.4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4.4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4.4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4.4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4.4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4.4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4.4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4.4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4.4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4.4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4.4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4.4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4.4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4.4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4.4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4.4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4.4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4.4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4.4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4.4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4.4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4.4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4.4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4.4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4.4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4.4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4.4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4.4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4.4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4.4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4.4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4.4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4.4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4.4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4.4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4.4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4.4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4.4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4.4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4.4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4.4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4.4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4.4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4.4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4.4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4.4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4.4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4.4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4.4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4.4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4.4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4.4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4.4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4.4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4.4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4.4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4.4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4.4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4.4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4.4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4.4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4.4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4.4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4.4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4.4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4.4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4.4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4.4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4.4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4.4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4.4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4.4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4.4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4.4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4.4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4.4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4.4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4.4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4.4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4.4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4.4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4.4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4.4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4.4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4.4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4.4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4.4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4.4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4.4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4.4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4.4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4.4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4.4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4.4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4.4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4.4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4.4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4.4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4.4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4.4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4.4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4.4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4.4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4.4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4.4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4.4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4.4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4.4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4.4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4.4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4.4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4.4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4.4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4.4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4.4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4.4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4.4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4.4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4.4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4.4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4.4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4.4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4.4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4.4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4.4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4.4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4.4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4.4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4.4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4.4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4.4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4.4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4.4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4.4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4.4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4.4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4.4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4.4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4.4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4.4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4.4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4.4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4.4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4.4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4.4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4.4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4.4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4.4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4.4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4.4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4.4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4.4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4.4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4.4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4.4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4.4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4.4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4.4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4.4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4.4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4.4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4.4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4.4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4.4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4.4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4.4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4.4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4.4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4.4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4.4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4.4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4.4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4.4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4.4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4.4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4.4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4.4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4.4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4.4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4.4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4.4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4.4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21" sqref="I21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8" customWidth="1"/>
    <col min="8" max="8" width="17" style="8" customWidth="1"/>
    <col min="9" max="9" width="16.44140625" style="8" customWidth="1"/>
    <col min="10" max="10" width="9.109375" customWidth="1"/>
    <col min="11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6384" width="9.10937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73722500</v>
      </c>
      <c r="H3" s="198">
        <v>75357000</v>
      </c>
      <c r="I3" s="198">
        <v>76052000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11</v>
      </c>
      <c r="D4" s="140" t="str">
        <f t="shared" si="1"/>
        <v>Opći prihodi i primici</v>
      </c>
      <c r="E4" s="153" t="s">
        <v>830</v>
      </c>
      <c r="F4" s="141" t="str">
        <f t="shared" ref="F4:F66" si="2">IFERROR(VLOOKUP(E4,$R$6:$U$73,2,FALSE),"")</f>
        <v>Prihodi iz nadležnog proračuna za financiranje redovne djelatnosti proračunskih korisnika</v>
      </c>
      <c r="G4" s="198">
        <v>6733400</v>
      </c>
      <c r="H4" s="198">
        <v>6883000</v>
      </c>
      <c r="I4" s="198">
        <v>6883000</v>
      </c>
      <c r="K4" s="144" t="str">
        <f t="shared" ref="K4:K67" si="3">LEFT(E4,3)</f>
        <v>671</v>
      </c>
      <c r="L4" s="144" t="str">
        <f t="shared" ref="L4:L67" si="4">LEFT(E4,2)</f>
        <v>67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52</v>
      </c>
      <c r="D5" s="140" t="str">
        <f t="shared" si="1"/>
        <v>Ostale pomoći</v>
      </c>
      <c r="E5" s="153">
        <v>6391</v>
      </c>
      <c r="F5" s="141" t="str">
        <f t="shared" si="2"/>
        <v>Tekući prijenosi između proračunskih korisnika istog proračuna</v>
      </c>
      <c r="G5" s="198">
        <v>231000</v>
      </c>
      <c r="H5" s="198">
        <v>231000</v>
      </c>
      <c r="I5" s="198">
        <v>231000</v>
      </c>
      <c r="K5" s="144" t="str">
        <f t="shared" si="3"/>
        <v>639</v>
      </c>
      <c r="L5" s="144" t="str">
        <f t="shared" si="4"/>
        <v>63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31</v>
      </c>
      <c r="D6" s="140" t="str">
        <f t="shared" si="1"/>
        <v>Vlastiti prihodi</v>
      </c>
      <c r="E6" s="153">
        <v>6615</v>
      </c>
      <c r="F6" s="141" t="str">
        <f t="shared" si="2"/>
        <v>Prihodi od pruženih usluga</v>
      </c>
      <c r="G6" s="198">
        <v>7741000</v>
      </c>
      <c r="H6" s="198">
        <v>8501000</v>
      </c>
      <c r="I6" s="198">
        <v>8917000</v>
      </c>
      <c r="K6" s="144" t="str">
        <f t="shared" si="3"/>
        <v>661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43</v>
      </c>
      <c r="D7" s="140" t="str">
        <f t="shared" si="1"/>
        <v>Ostali prihodi za posebne namjene</v>
      </c>
      <c r="E7" s="153">
        <v>65264</v>
      </c>
      <c r="F7" s="141" t="str">
        <f t="shared" si="2"/>
        <v>Sufinanciranje cijene usluge, participacije i slično</v>
      </c>
      <c r="G7" s="198">
        <v>12800000</v>
      </c>
      <c r="H7" s="198">
        <v>16300000</v>
      </c>
      <c r="I7" s="198">
        <v>19800000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43</v>
      </c>
      <c r="D8" s="140" t="str">
        <f t="shared" si="1"/>
        <v>Ostali prihodi za posebne namjene</v>
      </c>
      <c r="E8" s="153">
        <v>65268</v>
      </c>
      <c r="F8" s="141" t="str">
        <f t="shared" si="2"/>
        <v>Ostali prihodi za posebne namjene</v>
      </c>
      <c r="G8" s="198">
        <v>4000000</v>
      </c>
      <c r="H8" s="198">
        <v>4100000</v>
      </c>
      <c r="I8" s="198">
        <v>4200000</v>
      </c>
      <c r="K8" s="144" t="str">
        <f t="shared" si="3"/>
        <v>652</v>
      </c>
      <c r="L8" s="144" t="str">
        <f t="shared" si="4"/>
        <v>65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61</v>
      </c>
      <c r="D9" s="140" t="str">
        <f t="shared" si="1"/>
        <v>Donacije</v>
      </c>
      <c r="E9" s="153">
        <v>663110000</v>
      </c>
      <c r="F9" s="141" t="str">
        <f t="shared" si="2"/>
        <v>Tekuće donacije od fizičkih osoba</v>
      </c>
      <c r="G9" s="198">
        <v>35000</v>
      </c>
      <c r="H9" s="198">
        <v>36000</v>
      </c>
      <c r="I9" s="198">
        <v>37000</v>
      </c>
      <c r="K9" s="144" t="str">
        <f t="shared" si="3"/>
        <v>663</v>
      </c>
      <c r="L9" s="144" t="str">
        <f t="shared" si="4"/>
        <v>66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61</v>
      </c>
      <c r="D10" s="140" t="str">
        <f t="shared" si="1"/>
        <v>Donacije</v>
      </c>
      <c r="E10" s="153">
        <v>663130000</v>
      </c>
      <c r="F10" s="141" t="str">
        <f t="shared" si="2"/>
        <v>Tekuće donacije od trgovačkih društava</v>
      </c>
      <c r="G10" s="198">
        <v>173000</v>
      </c>
      <c r="H10" s="198">
        <v>183000</v>
      </c>
      <c r="I10" s="198">
        <v>191000</v>
      </c>
      <c r="K10" s="144" t="str">
        <f t="shared" si="3"/>
        <v>663</v>
      </c>
      <c r="L10" s="144" t="str">
        <f t="shared" si="4"/>
        <v>66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61</v>
      </c>
      <c r="D11" s="140" t="str">
        <f t="shared" si="1"/>
        <v>Donacije</v>
      </c>
      <c r="E11" s="153">
        <v>663230000</v>
      </c>
      <c r="F11" s="141" t="str">
        <f t="shared" si="2"/>
        <v>Kapitalne donacije od trgovačkih društava</v>
      </c>
      <c r="G11" s="198">
        <v>25000</v>
      </c>
      <c r="H11" s="198">
        <v>30000</v>
      </c>
      <c r="I11" s="198">
        <v>36000</v>
      </c>
      <c r="K11" s="144" t="str">
        <f t="shared" si="3"/>
        <v>663</v>
      </c>
      <c r="L11" s="144" t="str">
        <f t="shared" si="4"/>
        <v>66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52</v>
      </c>
      <c r="D12" s="140" t="str">
        <f t="shared" si="1"/>
        <v>Ostale pomoći</v>
      </c>
      <c r="E12" s="153">
        <v>6361</v>
      </c>
      <c r="F12" s="141" t="str">
        <f t="shared" si="2"/>
        <v>Tekuće pomoći proračunskim korisnicima iz proračuna koji im nije nadležan</v>
      </c>
      <c r="G12" s="198">
        <v>8000</v>
      </c>
      <c r="H12" s="198">
        <v>9000</v>
      </c>
      <c r="I12" s="198">
        <v>10000</v>
      </c>
      <c r="K12" s="144" t="str">
        <f t="shared" si="3"/>
        <v>636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52</v>
      </c>
      <c r="D13" s="140" t="str">
        <f t="shared" si="1"/>
        <v>Ostale pomoći</v>
      </c>
      <c r="E13" s="153">
        <v>6362</v>
      </c>
      <c r="F13" s="141" t="str">
        <f t="shared" si="2"/>
        <v>Kapitalne pomoći proračunskim korisnicima iz proračuna koji im nije nadležan</v>
      </c>
      <c r="G13" s="198">
        <v>50000</v>
      </c>
      <c r="H13" s="198">
        <v>60000</v>
      </c>
      <c r="I13" s="198">
        <v>70000</v>
      </c>
      <c r="K13" s="144" t="str">
        <f t="shared" si="3"/>
        <v>636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61</v>
      </c>
      <c r="D14" s="140" t="str">
        <f t="shared" si="1"/>
        <v>Donacije</v>
      </c>
      <c r="E14" s="153">
        <v>663120000</v>
      </c>
      <c r="F14" s="141" t="str">
        <f t="shared" si="2"/>
        <v>Tekuće donacije od neprofitnih organizacija</v>
      </c>
      <c r="G14" s="198">
        <v>730000</v>
      </c>
      <c r="H14" s="198">
        <v>750000</v>
      </c>
      <c r="I14" s="198">
        <v>770000</v>
      </c>
      <c r="K14" s="144" t="str">
        <f t="shared" si="3"/>
        <v>663</v>
      </c>
      <c r="L14" s="144" t="str">
        <f t="shared" si="4"/>
        <v>66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>08006</v>
      </c>
      <c r="B15" s="142" t="str">
        <f>IF(E15="","",VLOOKUP('Opći dio'!$C$3,'Opći dio'!$L$6:$U$135,9,FALSE))</f>
        <v>Sveučilišta i veleučilišta u Republici Hrvatskoj</v>
      </c>
      <c r="C15" s="202">
        <f t="shared" si="0"/>
        <v>51</v>
      </c>
      <c r="D15" s="140" t="str">
        <f t="shared" si="1"/>
        <v>Pomoći EU</v>
      </c>
      <c r="E15" s="153">
        <v>632311700</v>
      </c>
      <c r="F15" s="141" t="str">
        <f t="shared" si="2"/>
        <v>Tekuće pomoći od institucija i tijela EU - ostalo</v>
      </c>
      <c r="G15" s="198">
        <v>3000000</v>
      </c>
      <c r="H15" s="198">
        <v>2000000</v>
      </c>
      <c r="I15" s="198">
        <v>900000</v>
      </c>
      <c r="K15" s="144" t="str">
        <f t="shared" si="3"/>
        <v>632</v>
      </c>
      <c r="L15" s="144" t="str">
        <f t="shared" si="4"/>
        <v>63</v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>08006</v>
      </c>
      <c r="B16" s="142" t="str">
        <f>IF(E16="","",VLOOKUP('Opći dio'!$C$3,'Opći dio'!$L$6:$U$135,9,FALSE))</f>
        <v>Sveučilišta i veleučilišta u Republici Hrvatskoj</v>
      </c>
      <c r="C16" s="202">
        <f t="shared" si="0"/>
        <v>52</v>
      </c>
      <c r="D16" s="140" t="str">
        <f t="shared" si="1"/>
        <v>Ostale pomoći</v>
      </c>
      <c r="E16" s="153">
        <v>6393</v>
      </c>
      <c r="F16" s="141" t="str">
        <f t="shared" si="2"/>
        <v>Tekući prijenosi između proračunskih korisnika istog proračuna temeljem prijenosa EU sredstava</v>
      </c>
      <c r="G16" s="198">
        <v>500000</v>
      </c>
      <c r="H16" s="198">
        <v>400000</v>
      </c>
      <c r="I16" s="198">
        <v>300000</v>
      </c>
      <c r="K16" s="144" t="str">
        <f t="shared" si="3"/>
        <v>639</v>
      </c>
      <c r="L16" s="144" t="str">
        <f t="shared" si="4"/>
        <v>63</v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>08006</v>
      </c>
      <c r="B17" s="142" t="str">
        <f>IF(E17="","",VLOOKUP('Opći dio'!$C$3,'Opći dio'!$L$6:$U$135,9,FALSE))</f>
        <v>Sveučilišta i veleučilišta u Republici Hrvatskoj</v>
      </c>
      <c r="C17" s="202">
        <f t="shared" si="0"/>
        <v>71</v>
      </c>
      <c r="D17" s="140" t="str">
        <f t="shared" si="1"/>
        <v>Prihodi od nefin. imovine i nadoknade štete s osnova osig.</v>
      </c>
      <c r="E17" s="153">
        <v>721110071</v>
      </c>
      <c r="F17" s="141" t="str">
        <f t="shared" si="2"/>
        <v>Stambeni objekti za zaposlene izvor 71</v>
      </c>
      <c r="G17" s="198">
        <v>23000</v>
      </c>
      <c r="H17" s="198">
        <v>25000</v>
      </c>
      <c r="I17" s="198">
        <v>27000</v>
      </c>
      <c r="K17" s="144" t="str">
        <f t="shared" si="3"/>
        <v>721</v>
      </c>
      <c r="L17" s="144" t="str">
        <f t="shared" si="4"/>
        <v>72</v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>08006</v>
      </c>
      <c r="B18" s="142" t="str">
        <f>IF(E18="","",VLOOKUP('Opći dio'!$C$3,'Opći dio'!$L$6:$U$135,9,FALSE))</f>
        <v>Sveučilišta i veleučilišta u Republici Hrvatskoj</v>
      </c>
      <c r="C18" s="202">
        <f t="shared" si="0"/>
        <v>52</v>
      </c>
      <c r="D18" s="140" t="str">
        <f t="shared" si="1"/>
        <v>Ostale pomoći</v>
      </c>
      <c r="E18" s="153">
        <v>632112000</v>
      </c>
      <c r="F18" s="141" t="str">
        <f t="shared" si="2"/>
        <v>Tekuće pomoći od međunarodnih organizacija - ostale</v>
      </c>
      <c r="G18" s="198">
        <v>388000</v>
      </c>
      <c r="H18" s="198">
        <v>412000</v>
      </c>
      <c r="I18" s="198">
        <v>435000</v>
      </c>
      <c r="K18" s="144" t="str">
        <f t="shared" si="3"/>
        <v>632</v>
      </c>
      <c r="L18" s="144" t="str">
        <f t="shared" si="4"/>
        <v>63</v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>08006</v>
      </c>
      <c r="B19" s="142" t="str">
        <f>IF(E19="","",VLOOKUP('Opći dio'!$C$3,'Opći dio'!$L$6:$U$135,9,FALSE))</f>
        <v>Sveučilišta i veleučilišta u Republici Hrvatskoj</v>
      </c>
      <c r="C19" s="202">
        <f t="shared" si="0"/>
        <v>12</v>
      </c>
      <c r="D19" s="140" t="str">
        <f t="shared" si="1"/>
        <v>Sredstva učešća za pomoći</v>
      </c>
      <c r="E19" s="153" t="s">
        <v>831</v>
      </c>
      <c r="F19" s="141" t="str">
        <f t="shared" si="2"/>
        <v>Prihodi iz nadležnog proračuna za financiranje redovne djelatnosti proračunskih korisnika</v>
      </c>
      <c r="G19" s="198">
        <v>898598</v>
      </c>
      <c r="H19" s="198">
        <v>554880</v>
      </c>
      <c r="I19" s="198">
        <v>578688</v>
      </c>
      <c r="K19" s="144" t="str">
        <f t="shared" si="3"/>
        <v>671</v>
      </c>
      <c r="L19" s="144" t="str">
        <f t="shared" si="4"/>
        <v>67</v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>08006</v>
      </c>
      <c r="B20" s="142" t="str">
        <f>IF(E20="","",VLOOKUP('Opći dio'!$C$3,'Opći dio'!$L$6:$U$135,9,FALSE))</f>
        <v>Sveučilišta i veleučilišta u Republici Hrvatskoj</v>
      </c>
      <c r="C20" s="202">
        <f t="shared" si="0"/>
        <v>563</v>
      </c>
      <c r="D20" s="140" t="str">
        <f t="shared" si="1"/>
        <v>Europski fond za regionalni razvoj (ERDF)</v>
      </c>
      <c r="E20" s="153">
        <v>632310563</v>
      </c>
      <c r="F20" s="141" t="str">
        <f t="shared" si="2"/>
        <v>Tekuće pomoći od institucija i tijela EU - ERDF</v>
      </c>
      <c r="G20" s="198">
        <v>5092048</v>
      </c>
      <c r="H20" s="198">
        <v>3144315</v>
      </c>
      <c r="I20" s="198">
        <v>3279221</v>
      </c>
      <c r="K20" s="144" t="str">
        <f t="shared" si="3"/>
        <v>632</v>
      </c>
      <c r="L20" s="144" t="str">
        <f t="shared" si="4"/>
        <v>63</v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185" activePane="bottomLeft" state="frozen"/>
      <selection pane="bottomLeft" activeCell="I205" sqref="I205"/>
    </sheetView>
  </sheetViews>
  <sheetFormatPr defaultColWidth="0" defaultRowHeight="14.4" zeroHeight="1"/>
  <cols>
    <col min="1" max="1" width="8.33203125" style="144" customWidth="1"/>
    <col min="2" max="2" width="20.33203125" style="144" customWidth="1"/>
    <col min="3" max="3" width="11.5546875" style="144" customWidth="1"/>
    <col min="4" max="4" width="16.88671875" style="144" customWidth="1"/>
    <col min="5" max="5" width="11.33203125" style="144" customWidth="1"/>
    <col min="6" max="6" width="21.88671875" style="144" customWidth="1"/>
    <col min="7" max="7" width="12.5546875" style="144" customWidth="1"/>
    <col min="8" max="8" width="36.6640625" style="144" customWidth="1"/>
    <col min="9" max="9" width="16.44140625" style="145" customWidth="1"/>
    <col min="10" max="10" width="15.6640625" style="145" customWidth="1"/>
    <col min="11" max="11" width="15.109375" style="145" customWidth="1"/>
    <col min="12" max="12" width="9.109375" style="144" customWidth="1"/>
    <col min="13" max="15" width="9.109375" style="144" hidden="1" customWidth="1"/>
    <col min="16" max="16" width="46.5546875" style="144" hidden="1" customWidth="1"/>
    <col min="17" max="18" width="9.109375" style="144" hidden="1" customWidth="1"/>
    <col min="19" max="19" width="58.88671875" style="144" hidden="1" customWidth="1"/>
    <col min="20" max="25" width="0" style="144" hidden="1" customWidth="1"/>
    <col min="26" max="16384" width="9.10937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77</v>
      </c>
      <c r="H3" s="149" t="str">
        <f>IFERROR(VLOOKUP(G3,$X$6:$Y$50,2,FALSE),"")</f>
        <v>REDOVNA DJELATNOST SVEUČILIŠTA U RIJECI</v>
      </c>
      <c r="I3" s="198">
        <v>61031200</v>
      </c>
      <c r="J3" s="198">
        <v>62384324</v>
      </c>
      <c r="K3" s="198">
        <v>62959679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3132</v>
      </c>
      <c r="F4" s="149" t="str">
        <f t="shared" si="0"/>
        <v>Doprinosi za obvezno zdravstveno osiguranje</v>
      </c>
      <c r="G4" s="201" t="s">
        <v>77</v>
      </c>
      <c r="H4" s="149" t="str">
        <f t="shared" ref="H4:H67" si="2">IFERROR(VLOOKUP(G4,$X$6:$Y$50,2,FALSE),"")</f>
        <v>REDOVNA DJELATNOST SVEUČILIŠTA U RIJECI</v>
      </c>
      <c r="I4" s="198">
        <v>10074400</v>
      </c>
      <c r="J4" s="198">
        <v>10297759</v>
      </c>
      <c r="K4" s="198">
        <v>10392733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3236</v>
      </c>
      <c r="F5" s="149" t="str">
        <f t="shared" si="0"/>
        <v>Zdravstvene i veterinarske usluge</v>
      </c>
      <c r="G5" s="201" t="s">
        <v>77</v>
      </c>
      <c r="H5" s="149" t="str">
        <f t="shared" si="2"/>
        <v>REDOVNA DJELATNOST SVEUČILIŠTA U RIJECI</v>
      </c>
      <c r="I5" s="198">
        <v>74000</v>
      </c>
      <c r="J5" s="198">
        <v>75640</v>
      </c>
      <c r="K5" s="198">
        <v>76338</v>
      </c>
      <c r="M5" s="144" t="str">
        <f t="shared" si="3"/>
        <v>323</v>
      </c>
      <c r="N5" s="144" t="str">
        <f t="shared" si="4"/>
        <v>32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3121</v>
      </c>
      <c r="F6" s="149" t="str">
        <f t="shared" si="0"/>
        <v>Ostali rashodi za zaposlene</v>
      </c>
      <c r="G6" s="201" t="s">
        <v>77</v>
      </c>
      <c r="H6" s="149" t="str">
        <f t="shared" si="2"/>
        <v>REDOVNA DJELATNOST SVEUČILIŠTA U RIJECI</v>
      </c>
      <c r="I6" s="198">
        <v>1319000</v>
      </c>
      <c r="J6" s="198">
        <v>1348243</v>
      </c>
      <c r="K6" s="198">
        <v>1360678</v>
      </c>
      <c r="M6" s="144" t="str">
        <f t="shared" si="3"/>
        <v>312</v>
      </c>
      <c r="N6" s="144" t="str">
        <f t="shared" si="4"/>
        <v>31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3212</v>
      </c>
      <c r="F7" s="149" t="str">
        <f t="shared" si="0"/>
        <v>Naknade za prijevoz, za rad na terenu i odvojeni život</v>
      </c>
      <c r="G7" s="201" t="s">
        <v>77</v>
      </c>
      <c r="H7" s="149" t="str">
        <f t="shared" si="2"/>
        <v>REDOVNA DJELATNOST SVEUČILIŠTA U RIJECI</v>
      </c>
      <c r="I7" s="198">
        <v>1019500</v>
      </c>
      <c r="J7" s="198">
        <v>1042103</v>
      </c>
      <c r="K7" s="198">
        <v>1051714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77</v>
      </c>
      <c r="H8" s="149" t="str">
        <f t="shared" si="2"/>
        <v>REDOVNA DJELATNOST SVEUČILIŠTA U RIJECI</v>
      </c>
      <c r="I8" s="198">
        <v>204400</v>
      </c>
      <c r="J8" s="198">
        <v>208931</v>
      </c>
      <c r="K8" s="198">
        <v>210858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3211</v>
      </c>
      <c r="F9" s="149" t="str">
        <f t="shared" si="0"/>
        <v>Službena putovanja</v>
      </c>
      <c r="G9" s="201" t="s">
        <v>864</v>
      </c>
      <c r="H9" s="149" t="str">
        <f t="shared" si="2"/>
        <v>PROGRAMSKO FINANCIRANJE JAVNIH VISOKIH UČILIŠTA</v>
      </c>
      <c r="I9" s="198">
        <v>1576225</v>
      </c>
      <c r="J9" s="198">
        <v>1611246</v>
      </c>
      <c r="K9" s="198">
        <v>1611246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3213</v>
      </c>
      <c r="F10" s="149" t="str">
        <f t="shared" si="0"/>
        <v>Stručno usavršavanje zaposlenika</v>
      </c>
      <c r="G10" s="201" t="s">
        <v>864</v>
      </c>
      <c r="H10" s="149" t="str">
        <f t="shared" si="2"/>
        <v>PROGRAMSKO FINANCIRANJE JAVNIH VISOKIH UČILIŠTA</v>
      </c>
      <c r="I10" s="198">
        <v>357865</v>
      </c>
      <c r="J10" s="198">
        <v>365816</v>
      </c>
      <c r="K10" s="198">
        <v>365816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3221</v>
      </c>
      <c r="F11" s="149" t="str">
        <f t="shared" si="0"/>
        <v>Uredski materijal i ostali materijalni rashodi</v>
      </c>
      <c r="G11" s="201" t="s">
        <v>864</v>
      </c>
      <c r="H11" s="149" t="str">
        <f t="shared" si="2"/>
        <v>PROGRAMSKO FINANCIRANJE JAVNIH VISOKIH UČILIŠTA</v>
      </c>
      <c r="I11" s="198">
        <v>1280028</v>
      </c>
      <c r="J11" s="198">
        <v>1308468</v>
      </c>
      <c r="K11" s="198">
        <v>1308468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3222</v>
      </c>
      <c r="F12" s="149" t="str">
        <f t="shared" si="0"/>
        <v>Materijal i sirovine</v>
      </c>
      <c r="G12" s="201" t="s">
        <v>864</v>
      </c>
      <c r="H12" s="149" t="str">
        <f t="shared" si="2"/>
        <v>PROGRAMSKO FINANCIRANJE JAVNIH VISOKIH UČILIŠTA</v>
      </c>
      <c r="I12" s="198">
        <v>1737324</v>
      </c>
      <c r="J12" s="198">
        <v>1775923</v>
      </c>
      <c r="K12" s="198">
        <v>1775923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3224</v>
      </c>
      <c r="F13" s="149" t="str">
        <f t="shared" si="0"/>
        <v>Materijal i dijelovi za tekuće i investicijsko održavanje</v>
      </c>
      <c r="G13" s="201" t="s">
        <v>864</v>
      </c>
      <c r="H13" s="149" t="str">
        <f t="shared" si="2"/>
        <v>PROGRAMSKO FINANCIRANJE JAVNIH VISOKIH UČILIŠTA</v>
      </c>
      <c r="I13" s="198">
        <v>48218</v>
      </c>
      <c r="J13" s="198">
        <v>49290</v>
      </c>
      <c r="K13" s="198">
        <v>49290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3225</v>
      </c>
      <c r="F14" s="149" t="str">
        <f t="shared" si="0"/>
        <v>Sitni inventar i auto gume</v>
      </c>
      <c r="G14" s="201" t="s">
        <v>864</v>
      </c>
      <c r="H14" s="149" t="str">
        <f t="shared" si="2"/>
        <v>PROGRAMSKO FINANCIRANJE JAVNIH VISOKIH UČILIŠTA</v>
      </c>
      <c r="I14" s="198">
        <v>13547</v>
      </c>
      <c r="J14" s="198">
        <v>13848</v>
      </c>
      <c r="K14" s="198">
        <v>13848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3227</v>
      </c>
      <c r="F15" s="149" t="str">
        <f t="shared" si="0"/>
        <v>Službena, radna i zaštitna odjeća i obuća</v>
      </c>
      <c r="G15" s="201" t="s">
        <v>864</v>
      </c>
      <c r="H15" s="149" t="str">
        <f t="shared" si="2"/>
        <v>PROGRAMSKO FINANCIRANJE JAVNIH VISOKIH UČILIŠTA</v>
      </c>
      <c r="I15" s="198">
        <v>5397</v>
      </c>
      <c r="J15" s="198">
        <v>5517</v>
      </c>
      <c r="K15" s="198">
        <v>5517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3231</v>
      </c>
      <c r="F16" s="149" t="str">
        <f t="shared" si="0"/>
        <v>Usluge telefona, pošte i prijevoza</v>
      </c>
      <c r="G16" s="201" t="s">
        <v>864</v>
      </c>
      <c r="H16" s="149" t="str">
        <f t="shared" si="2"/>
        <v>PROGRAMSKO FINANCIRANJE JAVNIH VISOKIH UČILIŠTA</v>
      </c>
      <c r="I16" s="198">
        <v>49945</v>
      </c>
      <c r="J16" s="198">
        <v>51055</v>
      </c>
      <c r="K16" s="198">
        <v>51055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3232</v>
      </c>
      <c r="F17" s="149" t="str">
        <f t="shared" si="0"/>
        <v>Usluge tekućeg i investicijskog održavanja</v>
      </c>
      <c r="G17" s="201" t="s">
        <v>864</v>
      </c>
      <c r="H17" s="149" t="str">
        <f t="shared" si="2"/>
        <v>PROGRAMSKO FINANCIRANJE JAVNIH VISOKIH UČILIŠTA</v>
      </c>
      <c r="I17" s="198">
        <v>134815</v>
      </c>
      <c r="J17" s="198">
        <v>137811</v>
      </c>
      <c r="K17" s="198">
        <v>137811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3234</v>
      </c>
      <c r="F18" s="149" t="str">
        <f t="shared" si="0"/>
        <v>Komunalne usluge</v>
      </c>
      <c r="G18" s="201" t="s">
        <v>864</v>
      </c>
      <c r="H18" s="149" t="str">
        <f t="shared" si="2"/>
        <v>PROGRAMSKO FINANCIRANJE JAVNIH VISOKIH UČILIŠTA</v>
      </c>
      <c r="I18" s="198">
        <v>8976</v>
      </c>
      <c r="J18" s="198">
        <v>9176</v>
      </c>
      <c r="K18" s="198">
        <v>9176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3235</v>
      </c>
      <c r="F19" s="149" t="str">
        <f t="shared" si="0"/>
        <v>Zakupnine i najamnine</v>
      </c>
      <c r="G19" s="201" t="s">
        <v>864</v>
      </c>
      <c r="H19" s="149" t="str">
        <f t="shared" si="2"/>
        <v>PROGRAMSKO FINANCIRANJE JAVNIH VISOKIH UČILIŠTA</v>
      </c>
      <c r="I19" s="198">
        <v>31144</v>
      </c>
      <c r="J19" s="198">
        <v>31835</v>
      </c>
      <c r="K19" s="198">
        <v>31835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3236</v>
      </c>
      <c r="F20" s="149" t="str">
        <f t="shared" si="0"/>
        <v>Zdravstvene i veterinarske usluge</v>
      </c>
      <c r="G20" s="201" t="s">
        <v>864</v>
      </c>
      <c r="H20" s="149" t="str">
        <f t="shared" si="2"/>
        <v>PROGRAMSKO FINANCIRANJE JAVNIH VISOKIH UČILIŠTA</v>
      </c>
      <c r="I20" s="198">
        <v>1081</v>
      </c>
      <c r="J20" s="198">
        <v>1105</v>
      </c>
      <c r="K20" s="198">
        <v>1105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3237</v>
      </c>
      <c r="F21" s="149" t="str">
        <f t="shared" si="0"/>
        <v>Intelektualne i osobne usluge</v>
      </c>
      <c r="G21" s="201" t="s">
        <v>864</v>
      </c>
      <c r="H21" s="149" t="str">
        <f t="shared" si="2"/>
        <v>PROGRAMSKO FINANCIRANJE JAVNIH VISOKIH UČILIŠTA</v>
      </c>
      <c r="I21" s="198">
        <v>510922</v>
      </c>
      <c r="J21" s="198">
        <v>522273</v>
      </c>
      <c r="K21" s="198">
        <v>522273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3238</v>
      </c>
      <c r="F22" s="149" t="str">
        <f t="shared" si="0"/>
        <v>Računalne usluge</v>
      </c>
      <c r="G22" s="201" t="s">
        <v>864</v>
      </c>
      <c r="H22" s="149" t="str">
        <f t="shared" si="2"/>
        <v>PROGRAMSKO FINANCIRANJE JAVNIH VISOKIH UČILIŠTA</v>
      </c>
      <c r="I22" s="198">
        <v>4326</v>
      </c>
      <c r="J22" s="198">
        <v>4422</v>
      </c>
      <c r="K22" s="198">
        <v>4422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3239</v>
      </c>
      <c r="F23" s="149" t="str">
        <f t="shared" si="0"/>
        <v>Ostale usluge</v>
      </c>
      <c r="G23" s="201" t="s">
        <v>864</v>
      </c>
      <c r="H23" s="149" t="str">
        <f t="shared" si="2"/>
        <v>PROGRAMSKO FINANCIRANJE JAVNIH VISOKIH UČILIŠTA</v>
      </c>
      <c r="I23" s="198">
        <v>114160</v>
      </c>
      <c r="J23" s="198">
        <v>116696</v>
      </c>
      <c r="K23" s="198">
        <v>116696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3241</v>
      </c>
      <c r="F24" s="149" t="str">
        <f t="shared" si="0"/>
        <v>Naknade troškova osobama izvan radnog odnosa</v>
      </c>
      <c r="G24" s="201" t="s">
        <v>864</v>
      </c>
      <c r="H24" s="149" t="str">
        <f t="shared" si="2"/>
        <v>PROGRAMSKO FINANCIRANJE JAVNIH VISOKIH UČILIŠTA</v>
      </c>
      <c r="I24" s="198">
        <v>17398</v>
      </c>
      <c r="J24" s="198">
        <v>17784</v>
      </c>
      <c r="K24" s="198">
        <v>17784</v>
      </c>
      <c r="M24" s="144" t="str">
        <f t="shared" si="3"/>
        <v>324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3293</v>
      </c>
      <c r="F25" s="149" t="str">
        <f t="shared" si="0"/>
        <v>Reprezentacija</v>
      </c>
      <c r="G25" s="201" t="s">
        <v>864</v>
      </c>
      <c r="H25" s="149" t="str">
        <f t="shared" si="2"/>
        <v>PROGRAMSKO FINANCIRANJE JAVNIH VISOKIH UČILIŠTA</v>
      </c>
      <c r="I25" s="198">
        <v>42080</v>
      </c>
      <c r="J25" s="198">
        <v>43014</v>
      </c>
      <c r="K25" s="198">
        <v>43014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3294</v>
      </c>
      <c r="F26" s="149" t="str">
        <f t="shared" si="0"/>
        <v>Članarine i norme</v>
      </c>
      <c r="G26" s="201" t="s">
        <v>864</v>
      </c>
      <c r="H26" s="149" t="str">
        <f t="shared" si="2"/>
        <v>PROGRAMSKO FINANCIRANJE JAVNIH VISOKIH UČILIŠTA</v>
      </c>
      <c r="I26" s="198">
        <v>13018</v>
      </c>
      <c r="J26" s="198">
        <v>13307</v>
      </c>
      <c r="K26" s="198">
        <v>13307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3296</v>
      </c>
      <c r="F27" s="149" t="str">
        <f t="shared" si="0"/>
        <v>Troškovi sudskih postupaka</v>
      </c>
      <c r="G27" s="201" t="s">
        <v>864</v>
      </c>
      <c r="H27" s="149" t="str">
        <f t="shared" si="2"/>
        <v>PROGRAMSKO FINANCIRANJE JAVNIH VISOKIH UČILIŠTA</v>
      </c>
      <c r="I27" s="198">
        <v>188508</v>
      </c>
      <c r="J27" s="198">
        <v>192696</v>
      </c>
      <c r="K27" s="198">
        <v>192696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3431</v>
      </c>
      <c r="F28" s="149" t="str">
        <f t="shared" si="0"/>
        <v>Bankarske usluge i usluge platnog prometa</v>
      </c>
      <c r="G28" s="201" t="s">
        <v>864</v>
      </c>
      <c r="H28" s="149" t="str">
        <f t="shared" si="2"/>
        <v>PROGRAMSKO FINANCIRANJE JAVNIH VISOKIH UČILIŠTA</v>
      </c>
      <c r="I28" s="198">
        <v>25342</v>
      </c>
      <c r="J28" s="198">
        <v>25905</v>
      </c>
      <c r="K28" s="198">
        <v>25905</v>
      </c>
      <c r="M28" s="144" t="str">
        <f t="shared" si="3"/>
        <v>343</v>
      </c>
      <c r="N28" s="144" t="str">
        <f t="shared" si="4"/>
        <v>34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3433</v>
      </c>
      <c r="F29" s="149" t="str">
        <f t="shared" si="0"/>
        <v>Zatezne kamate</v>
      </c>
      <c r="G29" s="201" t="s">
        <v>864</v>
      </c>
      <c r="H29" s="149" t="str">
        <f t="shared" si="2"/>
        <v>PROGRAMSKO FINANCIRANJE JAVNIH VISOKIH UČILIŠTA</v>
      </c>
      <c r="I29" s="198">
        <v>7885</v>
      </c>
      <c r="J29" s="198">
        <v>8060</v>
      </c>
      <c r="K29" s="198">
        <v>8060</v>
      </c>
      <c r="M29" s="144" t="str">
        <f t="shared" si="3"/>
        <v>343</v>
      </c>
      <c r="N29" s="144" t="str">
        <f t="shared" si="4"/>
        <v>34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4221</v>
      </c>
      <c r="F30" s="149" t="str">
        <f t="shared" si="0"/>
        <v>Uredska oprema i namještaj</v>
      </c>
      <c r="G30" s="201" t="s">
        <v>864</v>
      </c>
      <c r="H30" s="149" t="str">
        <f t="shared" si="2"/>
        <v>PROGRAMSKO FINANCIRANJE JAVNIH VISOKIH UČILIŠTA</v>
      </c>
      <c r="I30" s="198">
        <v>260308</v>
      </c>
      <c r="J30" s="198">
        <v>266091</v>
      </c>
      <c r="K30" s="198">
        <v>266091</v>
      </c>
      <c r="M30" s="144" t="str">
        <f t="shared" si="3"/>
        <v>422</v>
      </c>
      <c r="N30" s="144" t="str">
        <f t="shared" si="4"/>
        <v>42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"/>
        <v>Opći prihodi i primici</v>
      </c>
      <c r="E31" s="154">
        <v>4224</v>
      </c>
      <c r="F31" s="149" t="str">
        <f t="shared" si="0"/>
        <v>Medicinska i laboratorijska oprema</v>
      </c>
      <c r="G31" s="201" t="s">
        <v>864</v>
      </c>
      <c r="H31" s="149" t="str">
        <f t="shared" si="2"/>
        <v>PROGRAMSKO FINANCIRANJE JAVNIH VISOKIH UČILIŠTA</v>
      </c>
      <c r="I31" s="198">
        <v>304888</v>
      </c>
      <c r="J31" s="198">
        <v>311662</v>
      </c>
      <c r="K31" s="198">
        <v>311662</v>
      </c>
      <c r="M31" s="144" t="str">
        <f t="shared" si="3"/>
        <v>422</v>
      </c>
      <c r="N31" s="144" t="str">
        <f t="shared" si="4"/>
        <v>42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52</v>
      </c>
      <c r="D32" s="149" t="str">
        <f t="shared" si="1"/>
        <v>Ostale pomoći</v>
      </c>
      <c r="E32" s="154">
        <v>3211</v>
      </c>
      <c r="F32" s="149" t="str">
        <f t="shared" si="0"/>
        <v>Službena putovanja</v>
      </c>
      <c r="G32" s="201" t="s">
        <v>194</v>
      </c>
      <c r="H32" s="149" t="str">
        <f t="shared" si="2"/>
        <v>REDOVNA DJELATNOST SVEUČILIŠTA U RIJECI (IZ EVIDENCIJSKIH PRIHODA)</v>
      </c>
      <c r="I32" s="198">
        <v>20000</v>
      </c>
      <c r="J32" s="198">
        <v>20000</v>
      </c>
      <c r="K32" s="198">
        <v>20000</v>
      </c>
      <c r="M32" s="144" t="str">
        <f t="shared" si="3"/>
        <v>321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52</v>
      </c>
      <c r="D33" s="149" t="str">
        <f t="shared" si="1"/>
        <v>Ostale pomoći</v>
      </c>
      <c r="E33" s="154">
        <v>3213</v>
      </c>
      <c r="F33" s="149" t="str">
        <f t="shared" si="0"/>
        <v>Stručno usavršavanje zaposlenika</v>
      </c>
      <c r="G33" s="201" t="s">
        <v>194</v>
      </c>
      <c r="H33" s="149" t="str">
        <f t="shared" si="2"/>
        <v>REDOVNA DJELATNOST SVEUČILIŠTA U RIJECI (IZ EVIDENCIJSKIH PRIHODA)</v>
      </c>
      <c r="I33" s="198">
        <v>10000</v>
      </c>
      <c r="J33" s="198">
        <v>10000</v>
      </c>
      <c r="K33" s="198">
        <v>10000</v>
      </c>
      <c r="M33" s="144" t="str">
        <f t="shared" si="3"/>
        <v>321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52</v>
      </c>
      <c r="D34" s="149" t="str">
        <f t="shared" si="1"/>
        <v>Ostale pomoći</v>
      </c>
      <c r="E34" s="154">
        <v>3221</v>
      </c>
      <c r="F34" s="149" t="str">
        <f t="shared" si="0"/>
        <v>Uredski materijal i ostali materijalni rashodi</v>
      </c>
      <c r="G34" s="201" t="s">
        <v>194</v>
      </c>
      <c r="H34" s="149" t="str">
        <f t="shared" si="2"/>
        <v>REDOVNA DJELATNOST SVEUČILIŠTA U RIJECI (IZ EVIDENCIJSKIH PRIHODA)</v>
      </c>
      <c r="I34" s="198">
        <v>55000</v>
      </c>
      <c r="J34" s="198">
        <v>55000</v>
      </c>
      <c r="K34" s="198">
        <v>55000</v>
      </c>
      <c r="M34" s="144" t="str">
        <f t="shared" si="3"/>
        <v>322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52</v>
      </c>
      <c r="D35" s="149" t="str">
        <f t="shared" si="1"/>
        <v>Ostale pomoći</v>
      </c>
      <c r="E35" s="154">
        <v>3222</v>
      </c>
      <c r="F35" s="149" t="str">
        <f t="shared" si="0"/>
        <v>Materijal i sirovine</v>
      </c>
      <c r="G35" s="201" t="s">
        <v>194</v>
      </c>
      <c r="H35" s="149" t="str">
        <f t="shared" si="2"/>
        <v>REDOVNA DJELATNOST SVEUČILIŠTA U RIJECI (IZ EVIDENCIJSKIH PRIHODA)</v>
      </c>
      <c r="I35" s="198">
        <v>20000</v>
      </c>
      <c r="J35" s="198">
        <v>20000</v>
      </c>
      <c r="K35" s="198">
        <v>20000</v>
      </c>
      <c r="M35" s="144" t="str">
        <f t="shared" si="3"/>
        <v>322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52</v>
      </c>
      <c r="D36" s="149" t="str">
        <f t="shared" si="1"/>
        <v>Ostale pomoći</v>
      </c>
      <c r="E36" s="154">
        <v>3225</v>
      </c>
      <c r="F36" s="149" t="str">
        <f t="shared" si="0"/>
        <v>Sitni inventar i auto gume</v>
      </c>
      <c r="G36" s="201" t="s">
        <v>194</v>
      </c>
      <c r="H36" s="149" t="str">
        <f t="shared" si="2"/>
        <v>REDOVNA DJELATNOST SVEUČILIŠTA U RIJECI (IZ EVIDENCIJSKIH PRIHODA)</v>
      </c>
      <c r="I36" s="198">
        <v>10000</v>
      </c>
      <c r="J36" s="198">
        <v>10000</v>
      </c>
      <c r="K36" s="198">
        <v>10000</v>
      </c>
      <c r="M36" s="144" t="str">
        <f t="shared" si="3"/>
        <v>322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52</v>
      </c>
      <c r="D37" s="149" t="str">
        <f t="shared" si="1"/>
        <v>Ostale pomoći</v>
      </c>
      <c r="E37" s="154">
        <v>3231</v>
      </c>
      <c r="F37" s="149" t="str">
        <f t="shared" si="0"/>
        <v>Usluge telefona, pošte i prijevoza</v>
      </c>
      <c r="G37" s="201" t="s">
        <v>194</v>
      </c>
      <c r="H37" s="149" t="str">
        <f t="shared" si="2"/>
        <v>REDOVNA DJELATNOST SVEUČILIŠTA U RIJECI (IZ EVIDENCIJSKIH PRIHODA)</v>
      </c>
      <c r="I37" s="198">
        <v>10000</v>
      </c>
      <c r="J37" s="198">
        <v>10000</v>
      </c>
      <c r="K37" s="198">
        <v>10000</v>
      </c>
      <c r="M37" s="144" t="str">
        <f t="shared" si="3"/>
        <v>323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52</v>
      </c>
      <c r="D38" s="149" t="str">
        <f t="shared" si="1"/>
        <v>Ostale pomoći</v>
      </c>
      <c r="E38" s="154">
        <v>3237</v>
      </c>
      <c r="F38" s="149" t="str">
        <f t="shared" si="0"/>
        <v>Intelektualne i osobne usluge</v>
      </c>
      <c r="G38" s="201" t="s">
        <v>194</v>
      </c>
      <c r="H38" s="149" t="str">
        <f t="shared" si="2"/>
        <v>REDOVNA DJELATNOST SVEUČILIŠTA U RIJECI (IZ EVIDENCIJSKIH PRIHODA)</v>
      </c>
      <c r="I38" s="198">
        <v>40000</v>
      </c>
      <c r="J38" s="198">
        <v>40000</v>
      </c>
      <c r="K38" s="198">
        <v>40000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52</v>
      </c>
      <c r="D39" s="149" t="str">
        <f t="shared" si="1"/>
        <v>Ostale pomoći</v>
      </c>
      <c r="E39" s="154">
        <v>3238</v>
      </c>
      <c r="F39" s="149" t="str">
        <f t="shared" si="0"/>
        <v>Računalne usluge</v>
      </c>
      <c r="G39" s="201" t="s">
        <v>194</v>
      </c>
      <c r="H39" s="149" t="str">
        <f t="shared" si="2"/>
        <v>REDOVNA DJELATNOST SVEUČILIŠTA U RIJECI (IZ EVIDENCIJSKIH PRIHODA)</v>
      </c>
      <c r="I39" s="198">
        <v>10000</v>
      </c>
      <c r="J39" s="198">
        <v>10000</v>
      </c>
      <c r="K39" s="198">
        <v>10000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52</v>
      </c>
      <c r="D40" s="149" t="str">
        <f t="shared" si="1"/>
        <v>Ostale pomoći</v>
      </c>
      <c r="E40" s="154">
        <v>3239</v>
      </c>
      <c r="F40" s="149" t="str">
        <f t="shared" si="0"/>
        <v>Ostale usluge</v>
      </c>
      <c r="G40" s="201" t="s">
        <v>194</v>
      </c>
      <c r="H40" s="149" t="str">
        <f t="shared" si="2"/>
        <v>REDOVNA DJELATNOST SVEUČILIŠTA U RIJECI (IZ EVIDENCIJSKIH PRIHODA)</v>
      </c>
      <c r="I40" s="198">
        <v>20000</v>
      </c>
      <c r="J40" s="198">
        <v>20000</v>
      </c>
      <c r="K40" s="198">
        <v>20000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52</v>
      </c>
      <c r="D41" s="149" t="str">
        <f t="shared" si="1"/>
        <v>Ostale pomoći</v>
      </c>
      <c r="E41" s="154">
        <v>3241</v>
      </c>
      <c r="F41" s="149" t="str">
        <f t="shared" si="0"/>
        <v>Naknade troškova osobama izvan radnog odnosa</v>
      </c>
      <c r="G41" s="201" t="s">
        <v>194</v>
      </c>
      <c r="H41" s="149" t="str">
        <f t="shared" si="2"/>
        <v>REDOVNA DJELATNOST SVEUČILIŠTA U RIJECI (IZ EVIDENCIJSKIH PRIHODA)</v>
      </c>
      <c r="I41" s="198">
        <v>5000</v>
      </c>
      <c r="J41" s="198">
        <v>5000</v>
      </c>
      <c r="K41" s="198">
        <v>5000</v>
      </c>
      <c r="M41" s="144" t="str">
        <f t="shared" si="3"/>
        <v>324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52</v>
      </c>
      <c r="D42" s="149" t="str">
        <f t="shared" si="1"/>
        <v>Ostale pomoći</v>
      </c>
      <c r="E42" s="154">
        <v>3293</v>
      </c>
      <c r="F42" s="149" t="str">
        <f t="shared" si="0"/>
        <v>Reprezentacija</v>
      </c>
      <c r="G42" s="201" t="s">
        <v>194</v>
      </c>
      <c r="H42" s="149" t="str">
        <f t="shared" si="2"/>
        <v>REDOVNA DJELATNOST SVEUČILIŠTA U RIJECI (IZ EVIDENCIJSKIH PRIHODA)</v>
      </c>
      <c r="I42" s="198">
        <v>10000</v>
      </c>
      <c r="J42" s="198">
        <v>10000</v>
      </c>
      <c r="K42" s="198">
        <v>10000</v>
      </c>
      <c r="M42" s="144" t="str">
        <f t="shared" si="3"/>
        <v>329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52</v>
      </c>
      <c r="D43" s="149" t="str">
        <f t="shared" si="1"/>
        <v>Ostale pomoći</v>
      </c>
      <c r="E43" s="154">
        <v>3294</v>
      </c>
      <c r="F43" s="149" t="str">
        <f t="shared" si="0"/>
        <v>Članarine i norme</v>
      </c>
      <c r="G43" s="201" t="s">
        <v>194</v>
      </c>
      <c r="H43" s="149" t="str">
        <f t="shared" si="2"/>
        <v>REDOVNA DJELATNOST SVEUČILIŠTA U RIJECI (IZ EVIDENCIJSKIH PRIHODA)</v>
      </c>
      <c r="I43" s="198">
        <v>10000</v>
      </c>
      <c r="J43" s="198">
        <v>10000</v>
      </c>
      <c r="K43" s="198">
        <v>10000</v>
      </c>
      <c r="M43" s="144" t="str">
        <f t="shared" si="3"/>
        <v>329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52</v>
      </c>
      <c r="D44" s="149" t="str">
        <f t="shared" si="1"/>
        <v>Ostale pomoći</v>
      </c>
      <c r="E44" s="154">
        <v>3299</v>
      </c>
      <c r="F44" s="149" t="str">
        <f t="shared" si="0"/>
        <v>Ostali nespomenuti rashodi poslovanja</v>
      </c>
      <c r="G44" s="201" t="s">
        <v>194</v>
      </c>
      <c r="H44" s="149" t="str">
        <f t="shared" si="2"/>
        <v>REDOVNA DJELATNOST SVEUČILIŠTA U RIJECI (IZ EVIDENCIJSKIH PRIHODA)</v>
      </c>
      <c r="I44" s="198">
        <v>11000</v>
      </c>
      <c r="J44" s="198">
        <v>11000</v>
      </c>
      <c r="K44" s="198">
        <v>11000</v>
      </c>
      <c r="M44" s="144" t="str">
        <f t="shared" si="3"/>
        <v>329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"/>
        <v>Vlastiti prihodi</v>
      </c>
      <c r="E45" s="154">
        <v>3111</v>
      </c>
      <c r="F45" s="149" t="str">
        <f t="shared" si="0"/>
        <v>Plaće za redovan rad</v>
      </c>
      <c r="G45" s="201" t="s">
        <v>194</v>
      </c>
      <c r="H45" s="149" t="str">
        <f t="shared" si="2"/>
        <v>REDOVNA DJELATNOST SVEUČILIŠTA U RIJECI (IZ EVIDENCIJSKIH PRIHODA)</v>
      </c>
      <c r="I45" s="198">
        <v>1922000</v>
      </c>
      <c r="J45" s="198">
        <v>2183000</v>
      </c>
      <c r="K45" s="198">
        <v>2336000</v>
      </c>
      <c r="M45" s="144" t="str">
        <f t="shared" si="3"/>
        <v>311</v>
      </c>
      <c r="N45" s="144" t="str">
        <f t="shared" si="4"/>
        <v>31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31</v>
      </c>
      <c r="D46" s="149" t="str">
        <f t="shared" si="1"/>
        <v>Vlastiti prihodi</v>
      </c>
      <c r="E46" s="154">
        <v>3121</v>
      </c>
      <c r="F46" s="149" t="str">
        <f t="shared" si="0"/>
        <v>Ostali rashodi za zaposlene</v>
      </c>
      <c r="G46" s="201" t="s">
        <v>194</v>
      </c>
      <c r="H46" s="149" t="str">
        <f t="shared" si="2"/>
        <v>REDOVNA DJELATNOST SVEUČILIŠTA U RIJECI (IZ EVIDENCIJSKIH PRIHODA)</v>
      </c>
      <c r="I46" s="198">
        <v>91000</v>
      </c>
      <c r="J46" s="198">
        <v>106000</v>
      </c>
      <c r="K46" s="198">
        <v>114000</v>
      </c>
      <c r="M46" s="144" t="str">
        <f t="shared" si="3"/>
        <v>312</v>
      </c>
      <c r="N46" s="144" t="str">
        <f t="shared" si="4"/>
        <v>31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"/>
        <v>Vlastiti prihodi</v>
      </c>
      <c r="E47" s="154">
        <v>3132</v>
      </c>
      <c r="F47" s="149" t="str">
        <f t="shared" si="0"/>
        <v>Doprinosi za obvezno zdravstveno osiguranje</v>
      </c>
      <c r="G47" s="201" t="s">
        <v>194</v>
      </c>
      <c r="H47" s="149" t="str">
        <f t="shared" si="2"/>
        <v>REDOVNA DJELATNOST SVEUČILIŠTA U RIJECI (IZ EVIDENCIJSKIH PRIHODA)</v>
      </c>
      <c r="I47" s="198">
        <v>327000</v>
      </c>
      <c r="J47" s="198">
        <v>380000</v>
      </c>
      <c r="K47" s="198">
        <v>411000</v>
      </c>
      <c r="M47" s="144" t="str">
        <f t="shared" si="3"/>
        <v>313</v>
      </c>
      <c r="N47" s="144" t="str">
        <f t="shared" si="4"/>
        <v>31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"/>
        <v>Vlastiti prihodi</v>
      </c>
      <c r="E48" s="154">
        <v>3211</v>
      </c>
      <c r="F48" s="149" t="str">
        <f t="shared" si="0"/>
        <v>Službena putovanja</v>
      </c>
      <c r="G48" s="201" t="s">
        <v>194</v>
      </c>
      <c r="H48" s="149" t="str">
        <f t="shared" si="2"/>
        <v>REDOVNA DJELATNOST SVEUČILIŠTA U RIJECI (IZ EVIDENCIJSKIH PRIHODA)</v>
      </c>
      <c r="I48" s="198">
        <v>327000</v>
      </c>
      <c r="J48" s="198">
        <v>379000</v>
      </c>
      <c r="K48" s="198">
        <v>410000</v>
      </c>
      <c r="M48" s="144" t="str">
        <f t="shared" si="3"/>
        <v>321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31</v>
      </c>
      <c r="D49" s="149" t="str">
        <f t="shared" si="1"/>
        <v>Vlastiti prihodi</v>
      </c>
      <c r="E49" s="154">
        <v>3212</v>
      </c>
      <c r="F49" s="149" t="str">
        <f t="shared" si="0"/>
        <v>Naknade za prijevoz, za rad na terenu i odvojeni život</v>
      </c>
      <c r="G49" s="201" t="s">
        <v>194</v>
      </c>
      <c r="H49" s="149" t="str">
        <f t="shared" si="2"/>
        <v>REDOVNA DJELATNOST SVEUČILIŠTA U RIJECI (IZ EVIDENCIJSKIH PRIHODA)</v>
      </c>
      <c r="I49" s="198">
        <v>48000</v>
      </c>
      <c r="J49" s="198">
        <v>54000</v>
      </c>
      <c r="K49" s="198">
        <v>60000</v>
      </c>
      <c r="M49" s="144" t="str">
        <f t="shared" si="3"/>
        <v>321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31</v>
      </c>
      <c r="D50" s="149" t="str">
        <f t="shared" si="1"/>
        <v>Vlastiti prihodi</v>
      </c>
      <c r="E50" s="154">
        <v>3213</v>
      </c>
      <c r="F50" s="149" t="str">
        <f t="shared" si="0"/>
        <v>Stručno usavršavanje zaposlenika</v>
      </c>
      <c r="G50" s="201" t="s">
        <v>194</v>
      </c>
      <c r="H50" s="149" t="str">
        <f t="shared" si="2"/>
        <v>REDOVNA DJELATNOST SVEUČILIŠTA U RIJECI (IZ EVIDENCIJSKIH PRIHODA)</v>
      </c>
      <c r="I50" s="198">
        <v>116000</v>
      </c>
      <c r="J50" s="198">
        <v>135000</v>
      </c>
      <c r="K50" s="198">
        <v>146000</v>
      </c>
      <c r="M50" s="144" t="str">
        <f t="shared" si="3"/>
        <v>321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"/>
        <v>Vlastiti prihodi</v>
      </c>
      <c r="E51" s="154">
        <v>3214</v>
      </c>
      <c r="F51" s="149" t="str">
        <f t="shared" si="0"/>
        <v>Ostale naknade troškova zaposlenima</v>
      </c>
      <c r="G51" s="201" t="s">
        <v>194</v>
      </c>
      <c r="H51" s="149" t="str">
        <f t="shared" si="2"/>
        <v>REDOVNA DJELATNOST SVEUČILIŠTA U RIJECI (IZ EVIDENCIJSKIH PRIHODA)</v>
      </c>
      <c r="I51" s="198">
        <v>3000</v>
      </c>
      <c r="J51" s="198">
        <v>4000</v>
      </c>
      <c r="K51" s="198">
        <v>5000</v>
      </c>
      <c r="M51" s="144" t="str">
        <f t="shared" si="3"/>
        <v>321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31</v>
      </c>
      <c r="D52" s="149" t="str">
        <f t="shared" si="1"/>
        <v>Vlastiti prihodi</v>
      </c>
      <c r="E52" s="154">
        <v>3221</v>
      </c>
      <c r="F52" s="149" t="str">
        <f t="shared" si="0"/>
        <v>Uredski materijal i ostali materijalni rashodi</v>
      </c>
      <c r="G52" s="201" t="s">
        <v>194</v>
      </c>
      <c r="H52" s="149" t="str">
        <f t="shared" si="2"/>
        <v>REDOVNA DJELATNOST SVEUČILIŠTA U RIJECI (IZ EVIDENCIJSKIH PRIHODA)</v>
      </c>
      <c r="I52" s="198">
        <v>46000</v>
      </c>
      <c r="J52" s="198">
        <v>54000</v>
      </c>
      <c r="K52" s="198">
        <v>58000</v>
      </c>
      <c r="M52" s="144" t="str">
        <f t="shared" si="3"/>
        <v>322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31</v>
      </c>
      <c r="D53" s="149" t="str">
        <f t="shared" si="1"/>
        <v>Vlastiti prihodi</v>
      </c>
      <c r="E53" s="154">
        <v>3222</v>
      </c>
      <c r="F53" s="149" t="str">
        <f t="shared" si="0"/>
        <v>Materijal i sirovine</v>
      </c>
      <c r="G53" s="201" t="s">
        <v>194</v>
      </c>
      <c r="H53" s="149" t="str">
        <f t="shared" si="2"/>
        <v>REDOVNA DJELATNOST SVEUČILIŠTA U RIJECI (IZ EVIDENCIJSKIH PRIHODA)</v>
      </c>
      <c r="I53" s="198">
        <v>281000</v>
      </c>
      <c r="J53" s="198">
        <v>326000</v>
      </c>
      <c r="K53" s="198">
        <v>353000</v>
      </c>
      <c r="M53" s="144" t="str">
        <f t="shared" si="3"/>
        <v>322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31</v>
      </c>
      <c r="D54" s="149" t="str">
        <f t="shared" si="1"/>
        <v>Vlastiti prihodi</v>
      </c>
      <c r="E54" s="154">
        <v>3223</v>
      </c>
      <c r="F54" s="149" t="str">
        <f t="shared" si="0"/>
        <v>Energija</v>
      </c>
      <c r="G54" s="201" t="s">
        <v>194</v>
      </c>
      <c r="H54" s="149" t="str">
        <f t="shared" si="2"/>
        <v>REDOVNA DJELATNOST SVEUČILIŠTA U RIJECI (IZ EVIDENCIJSKIH PRIHODA)</v>
      </c>
      <c r="I54" s="198">
        <v>118000</v>
      </c>
      <c r="J54" s="198">
        <v>137000</v>
      </c>
      <c r="K54" s="198">
        <v>148000</v>
      </c>
      <c r="M54" s="144" t="str">
        <f t="shared" si="3"/>
        <v>322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"/>
        <v>Vlastiti prihodi</v>
      </c>
      <c r="E55" s="154">
        <v>3224</v>
      </c>
      <c r="F55" s="149" t="str">
        <f t="shared" si="0"/>
        <v>Materijal i dijelovi za tekuće i investicijsko održavanje</v>
      </c>
      <c r="G55" s="201" t="s">
        <v>194</v>
      </c>
      <c r="H55" s="149" t="str">
        <f t="shared" si="2"/>
        <v>REDOVNA DJELATNOST SVEUČILIŠTA U RIJECI (IZ EVIDENCIJSKIH PRIHODA)</v>
      </c>
      <c r="I55" s="198">
        <v>53000</v>
      </c>
      <c r="J55" s="198">
        <v>62000</v>
      </c>
      <c r="K55" s="198">
        <v>67000</v>
      </c>
      <c r="M55" s="144" t="str">
        <f t="shared" si="3"/>
        <v>322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"/>
        <v>Vlastiti prihodi</v>
      </c>
      <c r="E56" s="154">
        <v>3225</v>
      </c>
      <c r="F56" s="149" t="str">
        <f t="shared" si="0"/>
        <v>Sitni inventar i auto gume</v>
      </c>
      <c r="G56" s="201" t="s">
        <v>194</v>
      </c>
      <c r="H56" s="149" t="str">
        <f t="shared" si="2"/>
        <v>REDOVNA DJELATNOST SVEUČILIŠTA U RIJECI (IZ EVIDENCIJSKIH PRIHODA)</v>
      </c>
      <c r="I56" s="198">
        <v>21000</v>
      </c>
      <c r="J56" s="198">
        <v>25000</v>
      </c>
      <c r="K56" s="198">
        <v>27000</v>
      </c>
      <c r="M56" s="144" t="str">
        <f t="shared" si="3"/>
        <v>322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"/>
        <v>Vlastiti prihodi</v>
      </c>
      <c r="E57" s="154">
        <v>3227</v>
      </c>
      <c r="F57" s="149" t="str">
        <f t="shared" si="0"/>
        <v>Službena, radna i zaštitna odjeća i obuća</v>
      </c>
      <c r="G57" s="201" t="s">
        <v>194</v>
      </c>
      <c r="H57" s="149" t="str">
        <f t="shared" si="2"/>
        <v>REDOVNA DJELATNOST SVEUČILIŠTA U RIJECI (IZ EVIDENCIJSKIH PRIHODA)</v>
      </c>
      <c r="I57" s="198">
        <v>22000</v>
      </c>
      <c r="J57" s="198">
        <v>26000</v>
      </c>
      <c r="K57" s="198">
        <v>28000</v>
      </c>
      <c r="M57" s="144" t="str">
        <f t="shared" si="3"/>
        <v>322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"/>
        <v>Vlastiti prihodi</v>
      </c>
      <c r="E58" s="154">
        <v>3231</v>
      </c>
      <c r="F58" s="149" t="str">
        <f t="shared" si="0"/>
        <v>Usluge telefona, pošte i prijevoza</v>
      </c>
      <c r="G58" s="201" t="s">
        <v>194</v>
      </c>
      <c r="H58" s="149" t="str">
        <f t="shared" si="2"/>
        <v>REDOVNA DJELATNOST SVEUČILIŠTA U RIJECI (IZ EVIDENCIJSKIH PRIHODA)</v>
      </c>
      <c r="I58" s="198">
        <v>39000</v>
      </c>
      <c r="J58" s="198">
        <v>45000</v>
      </c>
      <c r="K58" s="198">
        <v>49000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"/>
        <v>Vlastiti prihodi</v>
      </c>
      <c r="E59" s="154">
        <v>3232</v>
      </c>
      <c r="F59" s="149" t="str">
        <f t="shared" si="0"/>
        <v>Usluge tekućeg i investicijskog održavanja</v>
      </c>
      <c r="G59" s="201" t="s">
        <v>194</v>
      </c>
      <c r="H59" s="149" t="str">
        <f t="shared" si="2"/>
        <v>REDOVNA DJELATNOST SVEUČILIŠTA U RIJECI (IZ EVIDENCIJSKIH PRIHODA)</v>
      </c>
      <c r="I59" s="198">
        <v>423000</v>
      </c>
      <c r="J59" s="198">
        <v>491000</v>
      </c>
      <c r="K59" s="198">
        <v>531000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"/>
        <v>Vlastiti prihodi</v>
      </c>
      <c r="E60" s="154">
        <v>3233</v>
      </c>
      <c r="F60" s="149" t="str">
        <f t="shared" si="0"/>
        <v>Usluge promidžbe i informiranja</v>
      </c>
      <c r="G60" s="201" t="s">
        <v>194</v>
      </c>
      <c r="H60" s="149" t="str">
        <f t="shared" si="2"/>
        <v>REDOVNA DJELATNOST SVEUČILIŠTA U RIJECI (IZ EVIDENCIJSKIH PRIHODA)</v>
      </c>
      <c r="I60" s="198">
        <v>251000</v>
      </c>
      <c r="J60" s="198">
        <v>292000</v>
      </c>
      <c r="K60" s="198">
        <v>315000</v>
      </c>
      <c r="M60" s="144" t="str">
        <f t="shared" si="3"/>
        <v>323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31</v>
      </c>
      <c r="D61" s="149" t="str">
        <f t="shared" si="1"/>
        <v>Vlastiti prihodi</v>
      </c>
      <c r="E61" s="154">
        <v>3234</v>
      </c>
      <c r="F61" s="149" t="str">
        <f t="shared" si="0"/>
        <v>Komunalne usluge</v>
      </c>
      <c r="G61" s="201" t="s">
        <v>194</v>
      </c>
      <c r="H61" s="149" t="str">
        <f t="shared" si="2"/>
        <v>REDOVNA DJELATNOST SVEUČILIŠTA U RIJECI (IZ EVIDENCIJSKIH PRIHODA)</v>
      </c>
      <c r="I61" s="198">
        <v>39000</v>
      </c>
      <c r="J61" s="198">
        <v>45000</v>
      </c>
      <c r="K61" s="198">
        <v>49000</v>
      </c>
      <c r="M61" s="144" t="str">
        <f t="shared" si="3"/>
        <v>323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31</v>
      </c>
      <c r="D62" s="149" t="str">
        <f t="shared" si="1"/>
        <v>Vlastiti prihodi</v>
      </c>
      <c r="E62" s="154">
        <v>3235</v>
      </c>
      <c r="F62" s="149" t="str">
        <f t="shared" si="0"/>
        <v>Zakupnine i najamnine</v>
      </c>
      <c r="G62" s="201" t="s">
        <v>194</v>
      </c>
      <c r="H62" s="149" t="str">
        <f t="shared" si="2"/>
        <v>REDOVNA DJELATNOST SVEUČILIŠTA U RIJECI (IZ EVIDENCIJSKIH PRIHODA)</v>
      </c>
      <c r="I62" s="198">
        <v>165000</v>
      </c>
      <c r="J62" s="198">
        <v>191000</v>
      </c>
      <c r="K62" s="198">
        <v>207000</v>
      </c>
      <c r="M62" s="144" t="str">
        <f t="shared" si="3"/>
        <v>323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31</v>
      </c>
      <c r="D63" s="149" t="str">
        <f t="shared" si="1"/>
        <v>Vlastiti prihodi</v>
      </c>
      <c r="E63" s="154">
        <v>3236</v>
      </c>
      <c r="F63" s="149" t="str">
        <f t="shared" si="0"/>
        <v>Zdravstvene i veterinarske usluge</v>
      </c>
      <c r="G63" s="201" t="s">
        <v>194</v>
      </c>
      <c r="H63" s="149" t="str">
        <f t="shared" si="2"/>
        <v>REDOVNA DJELATNOST SVEUČILIŠTA U RIJECI (IZ EVIDENCIJSKIH PRIHODA)</v>
      </c>
      <c r="I63" s="198">
        <v>38000</v>
      </c>
      <c r="J63" s="198">
        <v>45000</v>
      </c>
      <c r="K63" s="198">
        <v>48000</v>
      </c>
      <c r="M63" s="144" t="str">
        <f t="shared" si="3"/>
        <v>323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31</v>
      </c>
      <c r="D64" s="149" t="str">
        <f t="shared" si="1"/>
        <v>Vlastiti prihodi</v>
      </c>
      <c r="E64" s="154">
        <v>3237</v>
      </c>
      <c r="F64" s="149" t="str">
        <f t="shared" si="0"/>
        <v>Intelektualne i osobne usluge</v>
      </c>
      <c r="G64" s="201" t="s">
        <v>194</v>
      </c>
      <c r="H64" s="149" t="str">
        <f t="shared" si="2"/>
        <v>REDOVNA DJELATNOST SVEUČILIŠTA U RIJECI (IZ EVIDENCIJSKIH PRIHODA)</v>
      </c>
      <c r="I64" s="198">
        <v>1412000</v>
      </c>
      <c r="J64" s="198">
        <v>1300000</v>
      </c>
      <c r="K64" s="198">
        <v>1200000</v>
      </c>
      <c r="M64" s="144" t="str">
        <f t="shared" si="3"/>
        <v>323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31</v>
      </c>
      <c r="D65" s="149" t="str">
        <f t="shared" si="1"/>
        <v>Vlastiti prihodi</v>
      </c>
      <c r="E65" s="154">
        <v>3238</v>
      </c>
      <c r="F65" s="149" t="str">
        <f t="shared" si="0"/>
        <v>Računalne usluge</v>
      </c>
      <c r="G65" s="201" t="s">
        <v>194</v>
      </c>
      <c r="H65" s="149" t="str">
        <f t="shared" si="2"/>
        <v>REDOVNA DJELATNOST SVEUČILIŠTA U RIJECI (IZ EVIDENCIJSKIH PRIHODA)</v>
      </c>
      <c r="I65" s="198">
        <v>140000</v>
      </c>
      <c r="J65" s="198">
        <v>162000</v>
      </c>
      <c r="K65" s="198">
        <v>175000</v>
      </c>
      <c r="M65" s="144" t="str">
        <f t="shared" si="3"/>
        <v>323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31</v>
      </c>
      <c r="D66" s="149" t="str">
        <f t="shared" si="1"/>
        <v>Vlastiti prihodi</v>
      </c>
      <c r="E66" s="154">
        <v>3239</v>
      </c>
      <c r="F66" s="149" t="str">
        <f t="shared" si="0"/>
        <v>Ostale usluge</v>
      </c>
      <c r="G66" s="201" t="s">
        <v>194</v>
      </c>
      <c r="H66" s="149" t="str">
        <f t="shared" si="2"/>
        <v>REDOVNA DJELATNOST SVEUČILIŠTA U RIJECI (IZ EVIDENCIJSKIH PRIHODA)</v>
      </c>
      <c r="I66" s="198">
        <v>344000</v>
      </c>
      <c r="J66" s="198">
        <v>399000</v>
      </c>
      <c r="K66" s="198">
        <v>432000</v>
      </c>
      <c r="M66" s="144" t="str">
        <f t="shared" si="3"/>
        <v>323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31</v>
      </c>
      <c r="D67" s="149" t="str">
        <f t="shared" si="1"/>
        <v>Vlastiti prihodi</v>
      </c>
      <c r="E67" s="154">
        <v>3241</v>
      </c>
      <c r="F67" s="149" t="str">
        <f t="shared" ref="F67:F130" si="11">IFERROR(VLOOKUP(E67,$R$5:$T$129,2,FALSE),"")</f>
        <v>Naknade troškova osobama izvan radnog odnosa</v>
      </c>
      <c r="G67" s="201" t="s">
        <v>194</v>
      </c>
      <c r="H67" s="149" t="str">
        <f t="shared" si="2"/>
        <v>REDOVNA DJELATNOST SVEUČILIŠTA U RIJECI (IZ EVIDENCIJSKIH PRIHODA)</v>
      </c>
      <c r="I67" s="198">
        <v>65000</v>
      </c>
      <c r="J67" s="198">
        <v>76000</v>
      </c>
      <c r="K67" s="198">
        <v>82000</v>
      </c>
      <c r="M67" s="144" t="str">
        <f t="shared" si="3"/>
        <v>324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31</v>
      </c>
      <c r="D68" s="149" t="str">
        <f t="shared" ref="D68:D131" si="12">IFERROR(VLOOKUP(C68,$O$6:$P$16,2,FALSE),"")</f>
        <v>Vlastiti prihodi</v>
      </c>
      <c r="E68" s="154">
        <v>3292</v>
      </c>
      <c r="F68" s="149" t="str">
        <f t="shared" si="11"/>
        <v>Premije osiguranja</v>
      </c>
      <c r="G68" s="201" t="s">
        <v>194</v>
      </c>
      <c r="H68" s="149" t="str">
        <f t="shared" ref="H68:H131" si="13">IFERROR(VLOOKUP(G68,$X$6:$Y$50,2,FALSE),"")</f>
        <v>REDOVNA DJELATNOST SVEUČILIŠTA U RIJECI (IZ EVIDENCIJSKIH PRIHODA)</v>
      </c>
      <c r="I68" s="198">
        <v>42000</v>
      </c>
      <c r="J68" s="198">
        <v>48000</v>
      </c>
      <c r="K68" s="198">
        <v>52000</v>
      </c>
      <c r="M68" s="144" t="str">
        <f t="shared" ref="M68:M131" si="14">LEFT(E68,3)</f>
        <v>329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31</v>
      </c>
      <c r="D69" s="149" t="str">
        <f t="shared" si="12"/>
        <v>Vlastiti prihodi</v>
      </c>
      <c r="E69" s="154">
        <v>3293</v>
      </c>
      <c r="F69" s="149" t="str">
        <f t="shared" si="11"/>
        <v>Reprezentacija</v>
      </c>
      <c r="G69" s="201" t="s">
        <v>194</v>
      </c>
      <c r="H69" s="149" t="str">
        <f t="shared" si="13"/>
        <v>REDOVNA DJELATNOST SVEUČILIŠTA U RIJECI (IZ EVIDENCIJSKIH PRIHODA)</v>
      </c>
      <c r="I69" s="198">
        <v>62000</v>
      </c>
      <c r="J69" s="198">
        <v>71000</v>
      </c>
      <c r="K69" s="198">
        <v>77000</v>
      </c>
      <c r="M69" s="144" t="str">
        <f t="shared" si="14"/>
        <v>329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31</v>
      </c>
      <c r="D70" s="149" t="str">
        <f t="shared" si="12"/>
        <v>Vlastiti prihodi</v>
      </c>
      <c r="E70" s="154">
        <v>3294</v>
      </c>
      <c r="F70" s="149" t="str">
        <f t="shared" si="11"/>
        <v>Članarine i norme</v>
      </c>
      <c r="G70" s="201" t="s">
        <v>194</v>
      </c>
      <c r="H70" s="149" t="str">
        <f t="shared" si="13"/>
        <v>REDOVNA DJELATNOST SVEUČILIŠTA U RIJECI (IZ EVIDENCIJSKIH PRIHODA)</v>
      </c>
      <c r="I70" s="198">
        <v>25000</v>
      </c>
      <c r="J70" s="198">
        <v>30000</v>
      </c>
      <c r="K70" s="198">
        <v>32000</v>
      </c>
      <c r="M70" s="144" t="str">
        <f t="shared" si="14"/>
        <v>329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31</v>
      </c>
      <c r="D71" s="149" t="str">
        <f t="shared" si="12"/>
        <v>Vlastiti prihodi</v>
      </c>
      <c r="E71" s="154">
        <v>3295</v>
      </c>
      <c r="F71" s="149" t="str">
        <f t="shared" si="11"/>
        <v>Pristojbe i naknade</v>
      </c>
      <c r="G71" s="201" t="s">
        <v>194</v>
      </c>
      <c r="H71" s="149" t="str">
        <f t="shared" si="13"/>
        <v>REDOVNA DJELATNOST SVEUČILIŠTA U RIJECI (IZ EVIDENCIJSKIH PRIHODA)</v>
      </c>
      <c r="I71" s="198">
        <v>10000</v>
      </c>
      <c r="J71" s="198">
        <v>11000</v>
      </c>
      <c r="K71" s="198">
        <v>12000</v>
      </c>
      <c r="M71" s="144" t="str">
        <f t="shared" si="14"/>
        <v>329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31</v>
      </c>
      <c r="D72" s="149" t="str">
        <f t="shared" si="12"/>
        <v>Vlastiti prihodi</v>
      </c>
      <c r="E72" s="154">
        <v>3296</v>
      </c>
      <c r="F72" s="149" t="str">
        <f t="shared" si="11"/>
        <v>Troškovi sudskih postupaka</v>
      </c>
      <c r="G72" s="201" t="s">
        <v>194</v>
      </c>
      <c r="H72" s="149" t="str">
        <f t="shared" si="13"/>
        <v>REDOVNA DJELATNOST SVEUČILIŠTA U RIJECI (IZ EVIDENCIJSKIH PRIHODA)</v>
      </c>
      <c r="I72" s="198">
        <v>120000</v>
      </c>
      <c r="J72" s="198">
        <v>100000</v>
      </c>
      <c r="K72" s="198">
        <v>50000</v>
      </c>
      <c r="M72" s="144" t="str">
        <f t="shared" si="14"/>
        <v>329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31</v>
      </c>
      <c r="D73" s="149" t="str">
        <f t="shared" si="12"/>
        <v>Vlastiti prihodi</v>
      </c>
      <c r="E73" s="154">
        <v>3299</v>
      </c>
      <c r="F73" s="149" t="str">
        <f t="shared" si="11"/>
        <v>Ostali nespomenuti rashodi poslovanja</v>
      </c>
      <c r="G73" s="201" t="s">
        <v>194</v>
      </c>
      <c r="H73" s="149" t="str">
        <f t="shared" si="13"/>
        <v>REDOVNA DJELATNOST SVEUČILIŠTA U RIJECI (IZ EVIDENCIJSKIH PRIHODA)</v>
      </c>
      <c r="I73" s="198">
        <v>41000</v>
      </c>
      <c r="J73" s="198">
        <v>48000</v>
      </c>
      <c r="K73" s="198">
        <v>51000</v>
      </c>
      <c r="M73" s="144" t="str">
        <f t="shared" si="14"/>
        <v>329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31</v>
      </c>
      <c r="D74" s="149" t="str">
        <f t="shared" si="12"/>
        <v>Vlastiti prihodi</v>
      </c>
      <c r="E74" s="154">
        <v>3423</v>
      </c>
      <c r="F74" s="149" t="str">
        <f t="shared" si="11"/>
        <v>Kamate za primljene kredite i zajmove od kreditnih i ostalih</v>
      </c>
      <c r="G74" s="201" t="s">
        <v>194</v>
      </c>
      <c r="H74" s="149" t="str">
        <f t="shared" si="13"/>
        <v>REDOVNA DJELATNOST SVEUČILIŠTA U RIJECI (IZ EVIDENCIJSKIH PRIHODA)</v>
      </c>
      <c r="I74" s="198">
        <v>51000</v>
      </c>
      <c r="J74" s="198">
        <v>59000</v>
      </c>
      <c r="K74" s="198">
        <v>64000</v>
      </c>
      <c r="M74" s="144" t="str">
        <f t="shared" si="14"/>
        <v>342</v>
      </c>
      <c r="N74" s="144" t="str">
        <f t="shared" si="15"/>
        <v>34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31</v>
      </c>
      <c r="D75" s="149" t="str">
        <f t="shared" si="12"/>
        <v>Vlastiti prihodi</v>
      </c>
      <c r="E75" s="154">
        <v>3431</v>
      </c>
      <c r="F75" s="149" t="str">
        <f t="shared" si="11"/>
        <v>Bankarske usluge i usluge platnog prometa</v>
      </c>
      <c r="G75" s="201" t="s">
        <v>194</v>
      </c>
      <c r="H75" s="149" t="str">
        <f t="shared" si="13"/>
        <v>REDOVNA DJELATNOST SVEUČILIŠTA U RIJECI (IZ EVIDENCIJSKIH PRIHODA)</v>
      </c>
      <c r="I75" s="198">
        <v>35000</v>
      </c>
      <c r="J75" s="198">
        <v>41000</v>
      </c>
      <c r="K75" s="198">
        <v>44000</v>
      </c>
      <c r="M75" s="144" t="str">
        <f t="shared" si="14"/>
        <v>343</v>
      </c>
      <c r="N75" s="144" t="str">
        <f t="shared" si="15"/>
        <v>34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31</v>
      </c>
      <c r="D76" s="149" t="str">
        <f t="shared" si="12"/>
        <v>Vlastiti prihodi</v>
      </c>
      <c r="E76" s="154">
        <v>3432</v>
      </c>
      <c r="F76" s="149" t="str">
        <f t="shared" si="11"/>
        <v>Negativne tečajne razlike i razlike zbog primjene valutne kl</v>
      </c>
      <c r="G76" s="201" t="s">
        <v>194</v>
      </c>
      <c r="H76" s="149" t="str">
        <f t="shared" si="13"/>
        <v>REDOVNA DJELATNOST SVEUČILIŠTA U RIJECI (IZ EVIDENCIJSKIH PRIHODA)</v>
      </c>
      <c r="I76" s="198">
        <v>125000</v>
      </c>
      <c r="J76" s="198">
        <v>145000</v>
      </c>
      <c r="K76" s="198">
        <v>157000</v>
      </c>
      <c r="M76" s="144" t="str">
        <f t="shared" si="14"/>
        <v>343</v>
      </c>
      <c r="N76" s="144" t="str">
        <f t="shared" si="15"/>
        <v>34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31</v>
      </c>
      <c r="D77" s="149" t="str">
        <f t="shared" si="12"/>
        <v>Vlastiti prihodi</v>
      </c>
      <c r="E77" s="154">
        <v>3433</v>
      </c>
      <c r="F77" s="149" t="str">
        <f t="shared" si="11"/>
        <v>Zatezne kamate</v>
      </c>
      <c r="G77" s="201" t="s">
        <v>194</v>
      </c>
      <c r="H77" s="149" t="str">
        <f t="shared" si="13"/>
        <v>REDOVNA DJELATNOST SVEUČILIŠTA U RIJECI (IZ EVIDENCIJSKIH PRIHODA)</v>
      </c>
      <c r="I77" s="198">
        <v>8000</v>
      </c>
      <c r="J77" s="198">
        <v>10000</v>
      </c>
      <c r="K77" s="198">
        <v>10000</v>
      </c>
      <c r="M77" s="144" t="str">
        <f t="shared" si="14"/>
        <v>343</v>
      </c>
      <c r="N77" s="144" t="str">
        <f t="shared" si="15"/>
        <v>34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31</v>
      </c>
      <c r="D78" s="149" t="str">
        <f t="shared" si="12"/>
        <v>Vlastiti prihodi</v>
      </c>
      <c r="E78" s="154">
        <v>3434</v>
      </c>
      <c r="F78" s="149" t="str">
        <f t="shared" si="11"/>
        <v>Ostali nespomenuti financijski rashodi</v>
      </c>
      <c r="G78" s="201" t="s">
        <v>194</v>
      </c>
      <c r="H78" s="149" t="str">
        <f t="shared" si="13"/>
        <v>REDOVNA DJELATNOST SVEUČILIŠTA U RIJECI (IZ EVIDENCIJSKIH PRIHODA)</v>
      </c>
      <c r="I78" s="198">
        <v>10000</v>
      </c>
      <c r="J78" s="198">
        <v>11000</v>
      </c>
      <c r="K78" s="198">
        <v>12000</v>
      </c>
      <c r="M78" s="144" t="str">
        <f t="shared" si="14"/>
        <v>343</v>
      </c>
      <c r="N78" s="144" t="str">
        <f t="shared" si="15"/>
        <v>34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31</v>
      </c>
      <c r="D79" s="149" t="str">
        <f t="shared" si="12"/>
        <v>Vlastiti prihodi</v>
      </c>
      <c r="E79" s="154">
        <v>4221</v>
      </c>
      <c r="F79" s="149" t="str">
        <f t="shared" si="11"/>
        <v>Uredska oprema i namještaj</v>
      </c>
      <c r="G79" s="201" t="s">
        <v>194</v>
      </c>
      <c r="H79" s="149" t="str">
        <f t="shared" si="13"/>
        <v>REDOVNA DJELATNOST SVEUČILIŠTA U RIJECI (IZ EVIDENCIJSKIH PRIHODA)</v>
      </c>
      <c r="I79" s="198">
        <v>428000</v>
      </c>
      <c r="J79" s="198">
        <v>431000</v>
      </c>
      <c r="K79" s="198">
        <v>466000</v>
      </c>
      <c r="M79" s="144" t="str">
        <f t="shared" si="14"/>
        <v>422</v>
      </c>
      <c r="N79" s="144" t="str">
        <f t="shared" si="15"/>
        <v>42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31</v>
      </c>
      <c r="D80" s="149" t="str">
        <f t="shared" si="12"/>
        <v>Vlastiti prihodi</v>
      </c>
      <c r="E80" s="154">
        <v>4222</v>
      </c>
      <c r="F80" s="149" t="str">
        <f t="shared" si="11"/>
        <v>Komunikacijska oprema</v>
      </c>
      <c r="G80" s="201" t="s">
        <v>194</v>
      </c>
      <c r="H80" s="149" t="str">
        <f t="shared" si="13"/>
        <v>REDOVNA DJELATNOST SVEUČILIŠTA U RIJECI (IZ EVIDENCIJSKIH PRIHODA)</v>
      </c>
      <c r="I80" s="198">
        <v>50000</v>
      </c>
      <c r="J80" s="198">
        <v>57000</v>
      </c>
      <c r="K80" s="198">
        <v>62000</v>
      </c>
      <c r="M80" s="144" t="str">
        <f t="shared" si="14"/>
        <v>422</v>
      </c>
      <c r="N80" s="144" t="str">
        <f t="shared" si="15"/>
        <v>42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31</v>
      </c>
      <c r="D81" s="149" t="str">
        <f t="shared" si="12"/>
        <v>Vlastiti prihodi</v>
      </c>
      <c r="E81" s="154">
        <v>4223</v>
      </c>
      <c r="F81" s="149" t="str">
        <f t="shared" si="11"/>
        <v>Oprema za održavanje i zaštitu</v>
      </c>
      <c r="G81" s="201" t="s">
        <v>194</v>
      </c>
      <c r="H81" s="149" t="str">
        <f t="shared" si="13"/>
        <v>REDOVNA DJELATNOST SVEUČILIŠTA U RIJECI (IZ EVIDENCIJSKIH PRIHODA)</v>
      </c>
      <c r="I81" s="198">
        <v>13000</v>
      </c>
      <c r="J81" s="198">
        <v>16000</v>
      </c>
      <c r="K81" s="198">
        <v>17000</v>
      </c>
      <c r="M81" s="144" t="str">
        <f t="shared" si="14"/>
        <v>422</v>
      </c>
      <c r="N81" s="144" t="str">
        <f t="shared" si="15"/>
        <v>42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31</v>
      </c>
      <c r="D82" s="149" t="str">
        <f t="shared" si="12"/>
        <v>Vlastiti prihodi</v>
      </c>
      <c r="E82" s="154">
        <v>4224</v>
      </c>
      <c r="F82" s="149" t="str">
        <f t="shared" si="11"/>
        <v>Medicinska i laboratorijska oprema</v>
      </c>
      <c r="G82" s="201" t="s">
        <v>194</v>
      </c>
      <c r="H82" s="149" t="str">
        <f t="shared" si="13"/>
        <v>REDOVNA DJELATNOST SVEUČILIŠTA U RIJECI (IZ EVIDENCIJSKIH PRIHODA)</v>
      </c>
      <c r="I82" s="198">
        <v>108000</v>
      </c>
      <c r="J82" s="198">
        <v>125000</v>
      </c>
      <c r="K82" s="198">
        <v>136000</v>
      </c>
      <c r="M82" s="144" t="str">
        <f t="shared" si="14"/>
        <v>422</v>
      </c>
      <c r="N82" s="144" t="str">
        <f t="shared" si="15"/>
        <v>42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31</v>
      </c>
      <c r="D83" s="149" t="str">
        <f t="shared" si="12"/>
        <v>Vlastiti prihodi</v>
      </c>
      <c r="E83" s="154">
        <v>4225</v>
      </c>
      <c r="F83" s="149" t="str">
        <f t="shared" si="11"/>
        <v>Instrumenti, uređaji i strojevi</v>
      </c>
      <c r="G83" s="201" t="s">
        <v>194</v>
      </c>
      <c r="H83" s="149" t="str">
        <f t="shared" si="13"/>
        <v>REDOVNA DJELATNOST SVEUČILIŠTA U RIJECI (IZ EVIDENCIJSKIH PRIHODA)</v>
      </c>
      <c r="I83" s="198">
        <v>39000</v>
      </c>
      <c r="J83" s="198">
        <v>45000</v>
      </c>
      <c r="K83" s="198">
        <v>49000</v>
      </c>
      <c r="M83" s="144" t="str">
        <f t="shared" si="14"/>
        <v>422</v>
      </c>
      <c r="N83" s="144" t="str">
        <f t="shared" si="15"/>
        <v>42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31</v>
      </c>
      <c r="D84" s="149" t="str">
        <f t="shared" si="12"/>
        <v>Vlastiti prihodi</v>
      </c>
      <c r="E84" s="154">
        <v>4241</v>
      </c>
      <c r="F84" s="149" t="str">
        <f t="shared" si="11"/>
        <v>Knjige</v>
      </c>
      <c r="G84" s="201" t="s">
        <v>194</v>
      </c>
      <c r="H84" s="149" t="str">
        <f t="shared" si="13"/>
        <v>REDOVNA DJELATNOST SVEUČILIŠTA U RIJECI (IZ EVIDENCIJSKIH PRIHODA)</v>
      </c>
      <c r="I84" s="198">
        <v>123000</v>
      </c>
      <c r="J84" s="198">
        <v>143000</v>
      </c>
      <c r="K84" s="198">
        <v>155000</v>
      </c>
      <c r="M84" s="144" t="str">
        <f t="shared" si="14"/>
        <v>424</v>
      </c>
      <c r="N84" s="144" t="str">
        <f t="shared" si="15"/>
        <v>42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31</v>
      </c>
      <c r="D85" s="149" t="str">
        <f t="shared" si="12"/>
        <v>Vlastiti prihodi</v>
      </c>
      <c r="E85" s="154">
        <v>4262</v>
      </c>
      <c r="F85" s="149" t="str">
        <f t="shared" si="11"/>
        <v>Ulaganja u računalne programe</v>
      </c>
      <c r="G85" s="201" t="s">
        <v>194</v>
      </c>
      <c r="H85" s="149" t="str">
        <f t="shared" si="13"/>
        <v>REDOVNA DJELATNOST SVEUČILIŠTA U RIJECI (IZ EVIDENCIJSKIH PRIHODA)</v>
      </c>
      <c r="I85" s="198">
        <v>50000</v>
      </c>
      <c r="J85" s="198">
        <v>60000</v>
      </c>
      <c r="K85" s="198">
        <v>70000</v>
      </c>
      <c r="M85" s="144" t="str">
        <f t="shared" si="14"/>
        <v>426</v>
      </c>
      <c r="N85" s="144" t="str">
        <f t="shared" si="15"/>
        <v>42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31</v>
      </c>
      <c r="D86" s="149" t="str">
        <f t="shared" si="12"/>
        <v>Vlastiti prihodi</v>
      </c>
      <c r="E86" s="154">
        <v>4511</v>
      </c>
      <c r="F86" s="149" t="str">
        <f t="shared" si="11"/>
        <v>Dodatna ulaganja na građevinskim objektima</v>
      </c>
      <c r="G86" s="201" t="s">
        <v>194</v>
      </c>
      <c r="H86" s="149" t="str">
        <f t="shared" si="13"/>
        <v>REDOVNA DJELATNOST SVEUČILIŠTA U RIJECI (IZ EVIDENCIJSKIH PRIHODA)</v>
      </c>
      <c r="I86" s="198">
        <v>30000</v>
      </c>
      <c r="J86" s="198">
        <v>40000</v>
      </c>
      <c r="K86" s="198">
        <v>50000</v>
      </c>
      <c r="M86" s="144" t="str">
        <f t="shared" si="14"/>
        <v>451</v>
      </c>
      <c r="N86" s="144" t="str">
        <f t="shared" si="15"/>
        <v>45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31</v>
      </c>
      <c r="D87" s="149" t="str">
        <f t="shared" si="12"/>
        <v>Vlastiti prihodi</v>
      </c>
      <c r="E87" s="154">
        <v>4521</v>
      </c>
      <c r="F87" s="149" t="str">
        <f t="shared" si="11"/>
        <v>Dodatna ulaganja na postrojenjima i opremi</v>
      </c>
      <c r="G87" s="201" t="s">
        <v>194</v>
      </c>
      <c r="H87" s="149" t="str">
        <f t="shared" si="13"/>
        <v>REDOVNA DJELATNOST SVEUČILIŠTA U RIJECI (IZ EVIDENCIJSKIH PRIHODA)</v>
      </c>
      <c r="I87" s="198">
        <v>80000</v>
      </c>
      <c r="J87" s="198">
        <v>93000</v>
      </c>
      <c r="K87" s="198">
        <v>100000</v>
      </c>
      <c r="M87" s="144" t="str">
        <f t="shared" si="14"/>
        <v>452</v>
      </c>
      <c r="N87" s="144" t="str">
        <f t="shared" si="15"/>
        <v>45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43</v>
      </c>
      <c r="D88" s="149" t="str">
        <f t="shared" si="12"/>
        <v>Ostali prihodi za posebne namjene</v>
      </c>
      <c r="E88" s="154">
        <v>3111</v>
      </c>
      <c r="F88" s="149" t="str">
        <f t="shared" si="11"/>
        <v>Plaće za redovan rad</v>
      </c>
      <c r="G88" s="201" t="s">
        <v>194</v>
      </c>
      <c r="H88" s="149" t="str">
        <f t="shared" si="13"/>
        <v>REDOVNA DJELATNOST SVEUČILIŠTA U RIJECI (IZ EVIDENCIJSKIH PRIHODA)</v>
      </c>
      <c r="I88" s="198">
        <v>1866000</v>
      </c>
      <c r="J88" s="198">
        <v>1875000</v>
      </c>
      <c r="K88" s="198">
        <v>1995000</v>
      </c>
      <c r="M88" s="144" t="str">
        <f t="shared" si="14"/>
        <v>311</v>
      </c>
      <c r="N88" s="144" t="str">
        <f t="shared" si="15"/>
        <v>31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2"/>
        <v>Ostali prihodi za posebne namjene</v>
      </c>
      <c r="E89" s="154">
        <v>3121</v>
      </c>
      <c r="F89" s="149" t="str">
        <f t="shared" si="11"/>
        <v>Ostali rashodi za zaposlene</v>
      </c>
      <c r="G89" s="201" t="s">
        <v>194</v>
      </c>
      <c r="H89" s="149" t="str">
        <f t="shared" si="13"/>
        <v>REDOVNA DJELATNOST SVEUČILIŠTA U RIJECI (IZ EVIDENCIJSKIH PRIHODA)</v>
      </c>
      <c r="I89" s="198">
        <v>12000</v>
      </c>
      <c r="J89" s="198">
        <v>12000</v>
      </c>
      <c r="K89" s="198">
        <v>14000</v>
      </c>
      <c r="M89" s="144" t="str">
        <f t="shared" si="14"/>
        <v>312</v>
      </c>
      <c r="N89" s="144" t="str">
        <f t="shared" si="15"/>
        <v>31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43</v>
      </c>
      <c r="D90" s="149" t="str">
        <f t="shared" si="12"/>
        <v>Ostali prihodi za posebne namjene</v>
      </c>
      <c r="E90" s="154">
        <v>3132</v>
      </c>
      <c r="F90" s="149" t="str">
        <f t="shared" si="11"/>
        <v>Doprinosi za obvezno zdravstveno osiguranje</v>
      </c>
      <c r="G90" s="201" t="s">
        <v>194</v>
      </c>
      <c r="H90" s="149" t="str">
        <f t="shared" si="13"/>
        <v>REDOVNA DJELATNOST SVEUČILIŠTA U RIJECI (IZ EVIDENCIJSKIH PRIHODA)</v>
      </c>
      <c r="I90" s="198">
        <v>172000</v>
      </c>
      <c r="J90" s="198">
        <v>172000</v>
      </c>
      <c r="K90" s="198">
        <v>184000</v>
      </c>
      <c r="M90" s="144" t="str">
        <f t="shared" si="14"/>
        <v>313</v>
      </c>
      <c r="N90" s="144" t="str">
        <f t="shared" si="15"/>
        <v>31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43</v>
      </c>
      <c r="D91" s="149" t="str">
        <f t="shared" si="12"/>
        <v>Ostali prihodi za posebne namjene</v>
      </c>
      <c r="E91" s="154">
        <v>3211</v>
      </c>
      <c r="F91" s="149" t="str">
        <f t="shared" si="11"/>
        <v>Službena putovanja</v>
      </c>
      <c r="G91" s="201" t="s">
        <v>194</v>
      </c>
      <c r="H91" s="149" t="str">
        <f t="shared" si="13"/>
        <v>REDOVNA DJELATNOST SVEUČILIŠTA U RIJECI (IZ EVIDENCIJSKIH PRIHODA)</v>
      </c>
      <c r="I91" s="198">
        <v>538000</v>
      </c>
      <c r="J91" s="198">
        <v>544000</v>
      </c>
      <c r="K91" s="198">
        <v>628000</v>
      </c>
      <c r="M91" s="144" t="str">
        <f t="shared" si="14"/>
        <v>321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43</v>
      </c>
      <c r="D92" s="149" t="str">
        <f t="shared" si="12"/>
        <v>Ostali prihodi za posebne namjene</v>
      </c>
      <c r="E92" s="154">
        <v>3212</v>
      </c>
      <c r="F92" s="149" t="str">
        <f t="shared" si="11"/>
        <v>Naknade za prijevoz, za rad na terenu i odvojeni život</v>
      </c>
      <c r="G92" s="201" t="s">
        <v>194</v>
      </c>
      <c r="H92" s="149" t="str">
        <f t="shared" si="13"/>
        <v>REDOVNA DJELATNOST SVEUČILIŠTA U RIJECI (IZ EVIDENCIJSKIH PRIHODA)</v>
      </c>
      <c r="I92" s="198">
        <v>26000</v>
      </c>
      <c r="J92" s="198">
        <v>26000</v>
      </c>
      <c r="K92" s="198">
        <v>30000</v>
      </c>
      <c r="M92" s="144" t="str">
        <f t="shared" si="14"/>
        <v>321</v>
      </c>
      <c r="N92" s="144" t="str">
        <f t="shared" si="15"/>
        <v>32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43</v>
      </c>
      <c r="D93" s="149" t="str">
        <f t="shared" si="12"/>
        <v>Ostali prihodi za posebne namjene</v>
      </c>
      <c r="E93" s="154">
        <v>3213</v>
      </c>
      <c r="F93" s="149" t="str">
        <f t="shared" si="11"/>
        <v>Stručno usavršavanje zaposlenika</v>
      </c>
      <c r="G93" s="201" t="s">
        <v>194</v>
      </c>
      <c r="H93" s="149" t="str">
        <f t="shared" si="13"/>
        <v>REDOVNA DJELATNOST SVEUČILIŠTA U RIJECI (IZ EVIDENCIJSKIH PRIHODA)</v>
      </c>
      <c r="I93" s="198">
        <v>230000</v>
      </c>
      <c r="J93" s="198">
        <v>233000</v>
      </c>
      <c r="K93" s="198">
        <v>269000</v>
      </c>
      <c r="M93" s="144" t="str">
        <f t="shared" si="14"/>
        <v>321</v>
      </c>
      <c r="N93" s="144" t="str">
        <f t="shared" si="15"/>
        <v>32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43</v>
      </c>
      <c r="D94" s="149" t="str">
        <f t="shared" si="12"/>
        <v>Ostali prihodi za posebne namjene</v>
      </c>
      <c r="E94" s="154">
        <v>3214</v>
      </c>
      <c r="F94" s="149" t="str">
        <f t="shared" si="11"/>
        <v>Ostale naknade troškova zaposlenima</v>
      </c>
      <c r="G94" s="201" t="s">
        <v>194</v>
      </c>
      <c r="H94" s="149" t="str">
        <f t="shared" si="13"/>
        <v>REDOVNA DJELATNOST SVEUČILIŠTA U RIJECI (IZ EVIDENCIJSKIH PRIHODA)</v>
      </c>
      <c r="I94" s="198">
        <v>5000</v>
      </c>
      <c r="J94" s="198">
        <v>6000</v>
      </c>
      <c r="K94" s="198">
        <v>7000</v>
      </c>
      <c r="M94" s="144" t="str">
        <f t="shared" si="14"/>
        <v>321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43</v>
      </c>
      <c r="D95" s="149" t="str">
        <f t="shared" si="12"/>
        <v>Ostali prihodi za posebne namjene</v>
      </c>
      <c r="E95" s="154">
        <v>3221</v>
      </c>
      <c r="F95" s="149" t="str">
        <f t="shared" si="11"/>
        <v>Uredski materijal i ostali materijalni rashodi</v>
      </c>
      <c r="G95" s="201" t="s">
        <v>194</v>
      </c>
      <c r="H95" s="149" t="str">
        <f t="shared" si="13"/>
        <v>REDOVNA DJELATNOST SVEUČILIŠTA U RIJECI (IZ EVIDENCIJSKIH PRIHODA)</v>
      </c>
      <c r="I95" s="198">
        <v>195000</v>
      </c>
      <c r="J95" s="198">
        <v>197000</v>
      </c>
      <c r="K95" s="198">
        <v>228000</v>
      </c>
      <c r="M95" s="144" t="str">
        <f t="shared" si="14"/>
        <v>322</v>
      </c>
      <c r="N95" s="144" t="str">
        <f t="shared" si="15"/>
        <v>32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43</v>
      </c>
      <c r="D96" s="149" t="str">
        <f t="shared" si="12"/>
        <v>Ostali prihodi za posebne namjene</v>
      </c>
      <c r="E96" s="154">
        <v>3222</v>
      </c>
      <c r="F96" s="149" t="str">
        <f t="shared" si="11"/>
        <v>Materijal i sirovine</v>
      </c>
      <c r="G96" s="201" t="s">
        <v>194</v>
      </c>
      <c r="H96" s="149" t="str">
        <f t="shared" si="13"/>
        <v>REDOVNA DJELATNOST SVEUČILIŠTA U RIJECI (IZ EVIDENCIJSKIH PRIHODA)</v>
      </c>
      <c r="I96" s="198">
        <v>2255000</v>
      </c>
      <c r="J96" s="198">
        <v>2281000</v>
      </c>
      <c r="K96" s="198">
        <v>2635000</v>
      </c>
      <c r="M96" s="144" t="str">
        <f t="shared" si="14"/>
        <v>322</v>
      </c>
      <c r="N96" s="144" t="str">
        <f t="shared" si="15"/>
        <v>32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43</v>
      </c>
      <c r="D97" s="149" t="str">
        <f t="shared" si="12"/>
        <v>Ostali prihodi za posebne namjene</v>
      </c>
      <c r="E97" s="154">
        <v>3223</v>
      </c>
      <c r="F97" s="149" t="str">
        <f t="shared" si="11"/>
        <v>Energija</v>
      </c>
      <c r="G97" s="201" t="s">
        <v>194</v>
      </c>
      <c r="H97" s="149" t="str">
        <f t="shared" si="13"/>
        <v>REDOVNA DJELATNOST SVEUČILIŠTA U RIJECI (IZ EVIDENCIJSKIH PRIHODA)</v>
      </c>
      <c r="I97" s="198">
        <v>3479000</v>
      </c>
      <c r="J97" s="198">
        <v>2839000</v>
      </c>
      <c r="K97" s="198">
        <v>2966000</v>
      </c>
      <c r="M97" s="144" t="str">
        <f t="shared" si="14"/>
        <v>322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43</v>
      </c>
      <c r="D98" s="149" t="str">
        <f t="shared" si="12"/>
        <v>Ostali prihodi za posebne namjene</v>
      </c>
      <c r="E98" s="154">
        <v>3224</v>
      </c>
      <c r="F98" s="149" t="str">
        <f t="shared" si="11"/>
        <v>Materijal i dijelovi za tekuće i investicijsko održavanje</v>
      </c>
      <c r="G98" s="201" t="s">
        <v>194</v>
      </c>
      <c r="H98" s="149" t="str">
        <f t="shared" si="13"/>
        <v>REDOVNA DJELATNOST SVEUČILIŠTA U RIJECI (IZ EVIDENCIJSKIH PRIHODA)</v>
      </c>
      <c r="I98" s="198">
        <v>38000</v>
      </c>
      <c r="J98" s="198">
        <v>38000</v>
      </c>
      <c r="K98" s="198">
        <v>44000</v>
      </c>
      <c r="M98" s="144" t="str">
        <f t="shared" si="14"/>
        <v>322</v>
      </c>
      <c r="N98" s="144" t="str">
        <f t="shared" si="15"/>
        <v>32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43</v>
      </c>
      <c r="D99" s="149" t="str">
        <f t="shared" si="12"/>
        <v>Ostali prihodi za posebne namjene</v>
      </c>
      <c r="E99" s="154">
        <v>3225</v>
      </c>
      <c r="F99" s="149" t="str">
        <f t="shared" si="11"/>
        <v>Sitni inventar i auto gume</v>
      </c>
      <c r="G99" s="201" t="s">
        <v>194</v>
      </c>
      <c r="H99" s="149" t="str">
        <f t="shared" si="13"/>
        <v>REDOVNA DJELATNOST SVEUČILIŠTA U RIJECI (IZ EVIDENCIJSKIH PRIHODA)</v>
      </c>
      <c r="I99" s="198">
        <v>16000</v>
      </c>
      <c r="J99" s="198">
        <v>16000</v>
      </c>
      <c r="K99" s="198">
        <v>19000</v>
      </c>
      <c r="M99" s="144" t="str">
        <f t="shared" si="14"/>
        <v>322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43</v>
      </c>
      <c r="D100" s="149" t="str">
        <f t="shared" si="12"/>
        <v>Ostali prihodi za posebne namjene</v>
      </c>
      <c r="E100" s="154">
        <v>3227</v>
      </c>
      <c r="F100" s="149" t="str">
        <f t="shared" si="11"/>
        <v>Službena, radna i zaštitna odjeća i obuća</v>
      </c>
      <c r="G100" s="201" t="s">
        <v>194</v>
      </c>
      <c r="H100" s="149" t="str">
        <f t="shared" si="13"/>
        <v>REDOVNA DJELATNOST SVEUČILIŠTA U RIJECI (IZ EVIDENCIJSKIH PRIHODA)</v>
      </c>
      <c r="I100" s="198">
        <v>2000</v>
      </c>
      <c r="J100" s="198">
        <v>2000</v>
      </c>
      <c r="K100" s="198">
        <v>2000</v>
      </c>
      <c r="M100" s="144" t="str">
        <f t="shared" si="14"/>
        <v>322</v>
      </c>
      <c r="N100" s="144" t="str">
        <f t="shared" si="15"/>
        <v>32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43</v>
      </c>
      <c r="D101" s="149" t="str">
        <f t="shared" si="12"/>
        <v>Ostali prihodi za posebne namjene</v>
      </c>
      <c r="E101" s="154">
        <v>3231</v>
      </c>
      <c r="F101" s="149" t="str">
        <f t="shared" si="11"/>
        <v>Usluge telefona, pošte i prijevoza</v>
      </c>
      <c r="G101" s="201" t="s">
        <v>194</v>
      </c>
      <c r="H101" s="149" t="str">
        <f t="shared" si="13"/>
        <v>REDOVNA DJELATNOST SVEUČILIŠTA U RIJECI (IZ EVIDENCIJSKIH PRIHODA)</v>
      </c>
      <c r="I101" s="198">
        <v>526000</v>
      </c>
      <c r="J101" s="198">
        <v>532000</v>
      </c>
      <c r="K101" s="198">
        <v>614000</v>
      </c>
      <c r="M101" s="144" t="str">
        <f t="shared" si="14"/>
        <v>323</v>
      </c>
      <c r="N101" s="144" t="str">
        <f t="shared" si="15"/>
        <v>32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43</v>
      </c>
      <c r="D102" s="149" t="str">
        <f t="shared" si="12"/>
        <v>Ostali prihodi za posebne namjene</v>
      </c>
      <c r="E102" s="154">
        <v>3232</v>
      </c>
      <c r="F102" s="149" t="str">
        <f t="shared" si="11"/>
        <v>Usluge tekućeg i investicijskog održavanja</v>
      </c>
      <c r="G102" s="201" t="s">
        <v>194</v>
      </c>
      <c r="H102" s="149" t="str">
        <f t="shared" si="13"/>
        <v>REDOVNA DJELATNOST SVEUČILIŠTA U RIJECI (IZ EVIDENCIJSKIH PRIHODA)</v>
      </c>
      <c r="I102" s="198">
        <v>159000</v>
      </c>
      <c r="J102" s="198">
        <v>161000</v>
      </c>
      <c r="K102" s="198">
        <v>186000</v>
      </c>
      <c r="M102" s="144" t="str">
        <f t="shared" si="14"/>
        <v>323</v>
      </c>
      <c r="N102" s="144" t="str">
        <f t="shared" si="15"/>
        <v>32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43</v>
      </c>
      <c r="D103" s="149" t="str">
        <f t="shared" si="12"/>
        <v>Ostali prihodi za posebne namjene</v>
      </c>
      <c r="E103" s="154">
        <v>3233</v>
      </c>
      <c r="F103" s="149" t="str">
        <f t="shared" si="11"/>
        <v>Usluge promidžbe i informiranja</v>
      </c>
      <c r="G103" s="201" t="s">
        <v>194</v>
      </c>
      <c r="H103" s="149" t="str">
        <f t="shared" si="13"/>
        <v>REDOVNA DJELATNOST SVEUČILIŠTA U RIJECI (IZ EVIDENCIJSKIH PRIHODA)</v>
      </c>
      <c r="I103" s="198">
        <v>12000</v>
      </c>
      <c r="J103" s="198">
        <v>12000</v>
      </c>
      <c r="K103" s="198">
        <v>14000</v>
      </c>
      <c r="M103" s="144" t="str">
        <f t="shared" si="14"/>
        <v>323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43</v>
      </c>
      <c r="D104" s="149" t="str">
        <f t="shared" si="12"/>
        <v>Ostali prihodi za posebne namjene</v>
      </c>
      <c r="E104" s="154">
        <v>3234</v>
      </c>
      <c r="F104" s="149" t="str">
        <f t="shared" si="11"/>
        <v>Komunalne usluge</v>
      </c>
      <c r="G104" s="201" t="s">
        <v>194</v>
      </c>
      <c r="H104" s="149" t="str">
        <f t="shared" si="13"/>
        <v>REDOVNA DJELATNOST SVEUČILIŠTA U RIJECI (IZ EVIDENCIJSKIH PRIHODA)</v>
      </c>
      <c r="I104" s="198">
        <v>1256000</v>
      </c>
      <c r="J104" s="198">
        <v>1271000</v>
      </c>
      <c r="K104" s="198">
        <v>1468000</v>
      </c>
      <c r="M104" s="144" t="str">
        <f t="shared" si="14"/>
        <v>323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43</v>
      </c>
      <c r="D105" s="149" t="str">
        <f t="shared" si="12"/>
        <v>Ostali prihodi za posebne namjene</v>
      </c>
      <c r="E105" s="154">
        <v>3235</v>
      </c>
      <c r="F105" s="149" t="str">
        <f t="shared" si="11"/>
        <v>Zakupnine i najamnine</v>
      </c>
      <c r="G105" s="201" t="s">
        <v>194</v>
      </c>
      <c r="H105" s="149" t="str">
        <f t="shared" si="13"/>
        <v>REDOVNA DJELATNOST SVEUČILIŠTA U RIJECI (IZ EVIDENCIJSKIH PRIHODA)</v>
      </c>
      <c r="I105" s="198">
        <v>227000</v>
      </c>
      <c r="J105" s="198">
        <v>229000</v>
      </c>
      <c r="K105" s="198">
        <v>265000</v>
      </c>
      <c r="M105" s="144" t="str">
        <f t="shared" si="14"/>
        <v>323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43</v>
      </c>
      <c r="D106" s="149" t="str">
        <f t="shared" si="12"/>
        <v>Ostali prihodi za posebne namjene</v>
      </c>
      <c r="E106" s="154">
        <v>3236</v>
      </c>
      <c r="F106" s="149" t="str">
        <f t="shared" si="11"/>
        <v>Zdravstvene i veterinarske usluge</v>
      </c>
      <c r="G106" s="201" t="s">
        <v>194</v>
      </c>
      <c r="H106" s="149" t="str">
        <f t="shared" si="13"/>
        <v>REDOVNA DJELATNOST SVEUČILIŠTA U RIJECI (IZ EVIDENCIJSKIH PRIHODA)</v>
      </c>
      <c r="I106" s="198">
        <v>1000</v>
      </c>
      <c r="J106" s="198">
        <v>1000</v>
      </c>
      <c r="K106" s="198">
        <v>1000</v>
      </c>
      <c r="M106" s="144" t="str">
        <f t="shared" si="14"/>
        <v>323</v>
      </c>
      <c r="N106" s="144" t="str">
        <f t="shared" si="15"/>
        <v>32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43</v>
      </c>
      <c r="D107" s="149" t="str">
        <f t="shared" si="12"/>
        <v>Ostali prihodi za posebne namjene</v>
      </c>
      <c r="E107" s="154">
        <v>3237</v>
      </c>
      <c r="F107" s="149" t="str">
        <f t="shared" si="11"/>
        <v>Intelektualne i osobne usluge</v>
      </c>
      <c r="G107" s="201" t="s">
        <v>194</v>
      </c>
      <c r="H107" s="149" t="str">
        <f t="shared" si="13"/>
        <v>REDOVNA DJELATNOST SVEUČILIŠTA U RIJECI (IZ EVIDENCIJSKIH PRIHODA)</v>
      </c>
      <c r="I107" s="198">
        <v>47000</v>
      </c>
      <c r="J107" s="198">
        <v>48000</v>
      </c>
      <c r="K107" s="198">
        <v>55000</v>
      </c>
      <c r="M107" s="144" t="str">
        <f t="shared" si="14"/>
        <v>323</v>
      </c>
      <c r="N107" s="144" t="str">
        <f t="shared" si="15"/>
        <v>32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43</v>
      </c>
      <c r="D108" s="149" t="str">
        <f t="shared" si="12"/>
        <v>Ostali prihodi za posebne namjene</v>
      </c>
      <c r="E108" s="154">
        <v>3238</v>
      </c>
      <c r="F108" s="149" t="str">
        <f t="shared" si="11"/>
        <v>Računalne usluge</v>
      </c>
      <c r="G108" s="201" t="s">
        <v>194</v>
      </c>
      <c r="H108" s="149" t="str">
        <f t="shared" si="13"/>
        <v>REDOVNA DJELATNOST SVEUČILIŠTA U RIJECI (IZ EVIDENCIJSKIH PRIHODA)</v>
      </c>
      <c r="I108" s="198">
        <v>100000</v>
      </c>
      <c r="J108" s="198">
        <v>110000</v>
      </c>
      <c r="K108" s="198">
        <v>110000</v>
      </c>
      <c r="M108" s="144" t="str">
        <f t="shared" si="14"/>
        <v>323</v>
      </c>
      <c r="N108" s="144" t="str">
        <f t="shared" si="15"/>
        <v>32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43</v>
      </c>
      <c r="D109" s="149" t="str">
        <f t="shared" si="12"/>
        <v>Ostali prihodi za posebne namjene</v>
      </c>
      <c r="E109" s="154">
        <v>3239</v>
      </c>
      <c r="F109" s="149" t="str">
        <f t="shared" si="11"/>
        <v>Ostale usluge</v>
      </c>
      <c r="G109" s="201" t="s">
        <v>194</v>
      </c>
      <c r="H109" s="149" t="str">
        <f t="shared" si="13"/>
        <v>REDOVNA DJELATNOST SVEUČILIŠTA U RIJECI (IZ EVIDENCIJSKIH PRIHODA)</v>
      </c>
      <c r="I109" s="198">
        <v>16000</v>
      </c>
      <c r="J109" s="198">
        <v>16000</v>
      </c>
      <c r="K109" s="198">
        <v>19000</v>
      </c>
      <c r="M109" s="144" t="str">
        <f t="shared" si="14"/>
        <v>323</v>
      </c>
      <c r="N109" s="144" t="str">
        <f t="shared" si="15"/>
        <v>32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43</v>
      </c>
      <c r="D110" s="149" t="str">
        <f t="shared" si="12"/>
        <v>Ostali prihodi za posebne namjene</v>
      </c>
      <c r="E110" s="154">
        <v>3241</v>
      </c>
      <c r="F110" s="149" t="str">
        <f t="shared" si="11"/>
        <v>Naknade troškova osobama izvan radnog odnosa</v>
      </c>
      <c r="G110" s="201" t="s">
        <v>194</v>
      </c>
      <c r="H110" s="149" t="str">
        <f t="shared" si="13"/>
        <v>REDOVNA DJELATNOST SVEUČILIŠTA U RIJECI (IZ EVIDENCIJSKIH PRIHODA)</v>
      </c>
      <c r="I110" s="198">
        <v>9000</v>
      </c>
      <c r="J110" s="198">
        <v>9000</v>
      </c>
      <c r="K110" s="198">
        <v>10000</v>
      </c>
      <c r="M110" s="144" t="str">
        <f t="shared" si="14"/>
        <v>324</v>
      </c>
      <c r="N110" s="144" t="str">
        <f t="shared" si="15"/>
        <v>32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43</v>
      </c>
      <c r="D111" s="149" t="str">
        <f t="shared" si="12"/>
        <v>Ostali prihodi za posebne namjene</v>
      </c>
      <c r="E111" s="154">
        <v>3293</v>
      </c>
      <c r="F111" s="149" t="str">
        <f t="shared" si="11"/>
        <v>Reprezentacija</v>
      </c>
      <c r="G111" s="201" t="s">
        <v>194</v>
      </c>
      <c r="H111" s="149" t="str">
        <f t="shared" si="13"/>
        <v>REDOVNA DJELATNOST SVEUČILIŠTA U RIJECI (IZ EVIDENCIJSKIH PRIHODA)</v>
      </c>
      <c r="I111" s="198">
        <v>1000</v>
      </c>
      <c r="J111" s="198">
        <v>1000</v>
      </c>
      <c r="K111" s="198">
        <v>1000</v>
      </c>
      <c r="M111" s="144" t="str">
        <f t="shared" si="14"/>
        <v>329</v>
      </c>
      <c r="N111" s="144" t="str">
        <f t="shared" si="15"/>
        <v>32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43</v>
      </c>
      <c r="D112" s="149" t="str">
        <f t="shared" si="12"/>
        <v>Ostali prihodi za posebne namjene</v>
      </c>
      <c r="E112" s="154">
        <v>3294</v>
      </c>
      <c r="F112" s="149" t="str">
        <f t="shared" si="11"/>
        <v>Članarine i norme</v>
      </c>
      <c r="G112" s="201" t="s">
        <v>194</v>
      </c>
      <c r="H112" s="149" t="str">
        <f t="shared" si="13"/>
        <v>REDOVNA DJELATNOST SVEUČILIŠTA U RIJECI (IZ EVIDENCIJSKIH PRIHODA)</v>
      </c>
      <c r="I112" s="198">
        <v>6000</v>
      </c>
      <c r="J112" s="198">
        <v>6000</v>
      </c>
      <c r="K112" s="198">
        <v>7000</v>
      </c>
      <c r="M112" s="144" t="str">
        <f t="shared" si="14"/>
        <v>329</v>
      </c>
      <c r="N112" s="144" t="str">
        <f t="shared" si="15"/>
        <v>32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43</v>
      </c>
      <c r="D113" s="149" t="str">
        <f t="shared" si="12"/>
        <v>Ostali prihodi za posebne namjene</v>
      </c>
      <c r="E113" s="154">
        <v>3431</v>
      </c>
      <c r="F113" s="149" t="str">
        <f t="shared" si="11"/>
        <v>Bankarske usluge i usluge platnog prometa</v>
      </c>
      <c r="G113" s="201" t="s">
        <v>194</v>
      </c>
      <c r="H113" s="149" t="str">
        <f t="shared" si="13"/>
        <v>REDOVNA DJELATNOST SVEUČILIŠTA U RIJECI (IZ EVIDENCIJSKIH PRIHODA)</v>
      </c>
      <c r="I113" s="198">
        <v>11000</v>
      </c>
      <c r="J113" s="198">
        <v>11000</v>
      </c>
      <c r="K113" s="198">
        <v>13000</v>
      </c>
      <c r="M113" s="144" t="str">
        <f t="shared" si="14"/>
        <v>343</v>
      </c>
      <c r="N113" s="144" t="str">
        <f t="shared" si="15"/>
        <v>34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43</v>
      </c>
      <c r="D114" s="149" t="str">
        <f t="shared" si="12"/>
        <v>Ostali prihodi za posebne namjene</v>
      </c>
      <c r="E114" s="154">
        <v>4221</v>
      </c>
      <c r="F114" s="149" t="str">
        <f t="shared" si="11"/>
        <v>Uredska oprema i namještaj</v>
      </c>
      <c r="G114" s="201" t="s">
        <v>194</v>
      </c>
      <c r="H114" s="149" t="str">
        <f t="shared" si="13"/>
        <v>REDOVNA DJELATNOST SVEUČILIŠTA U RIJECI (IZ EVIDENCIJSKIH PRIHODA)</v>
      </c>
      <c r="I114" s="198">
        <v>50000</v>
      </c>
      <c r="J114" s="198">
        <v>50000</v>
      </c>
      <c r="K114" s="198">
        <v>50000</v>
      </c>
      <c r="M114" s="144" t="str">
        <f t="shared" si="14"/>
        <v>422</v>
      </c>
      <c r="N114" s="144" t="str">
        <f t="shared" si="15"/>
        <v>42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43</v>
      </c>
      <c r="D115" s="149" t="str">
        <f t="shared" si="12"/>
        <v>Ostali prihodi za posebne namjene</v>
      </c>
      <c r="E115" s="154">
        <v>4222</v>
      </c>
      <c r="F115" s="149" t="str">
        <f t="shared" si="11"/>
        <v>Komunikacijska oprema</v>
      </c>
      <c r="G115" s="201" t="s">
        <v>194</v>
      </c>
      <c r="H115" s="149" t="str">
        <f t="shared" si="13"/>
        <v>REDOVNA DJELATNOST SVEUČILIŠTA U RIJECI (IZ EVIDENCIJSKIH PRIHODA)</v>
      </c>
      <c r="I115" s="198">
        <v>50000</v>
      </c>
      <c r="J115" s="198">
        <v>50000</v>
      </c>
      <c r="K115" s="198">
        <v>50000</v>
      </c>
      <c r="M115" s="144" t="str">
        <f t="shared" si="14"/>
        <v>422</v>
      </c>
      <c r="N115" s="144" t="str">
        <f t="shared" si="15"/>
        <v>42</v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43</v>
      </c>
      <c r="D116" s="149" t="str">
        <f t="shared" si="12"/>
        <v>Ostali prihodi za posebne namjene</v>
      </c>
      <c r="E116" s="154">
        <v>4224</v>
      </c>
      <c r="F116" s="149" t="str">
        <f t="shared" si="11"/>
        <v>Medicinska i laboratorijska oprema</v>
      </c>
      <c r="G116" s="201" t="s">
        <v>194</v>
      </c>
      <c r="H116" s="149" t="str">
        <f t="shared" si="13"/>
        <v>REDOVNA DJELATNOST SVEUČILIŠTA U RIJECI (IZ EVIDENCIJSKIH PRIHODA)</v>
      </c>
      <c r="I116" s="198">
        <v>54000</v>
      </c>
      <c r="J116" s="198">
        <v>55000</v>
      </c>
      <c r="K116" s="198">
        <v>63000</v>
      </c>
      <c r="M116" s="144" t="str">
        <f t="shared" si="14"/>
        <v>422</v>
      </c>
      <c r="N116" s="144" t="str">
        <f t="shared" si="15"/>
        <v>42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43</v>
      </c>
      <c r="D117" s="149" t="str">
        <f t="shared" si="12"/>
        <v>Ostali prihodi za posebne namjene</v>
      </c>
      <c r="E117" s="154">
        <v>4225</v>
      </c>
      <c r="F117" s="149" t="str">
        <f t="shared" si="11"/>
        <v>Instrumenti, uređaji i strojevi</v>
      </c>
      <c r="G117" s="201" t="s">
        <v>194</v>
      </c>
      <c r="H117" s="149" t="str">
        <f t="shared" si="13"/>
        <v>REDOVNA DJELATNOST SVEUČILIŠTA U RIJECI (IZ EVIDENCIJSKIH PRIHODA)</v>
      </c>
      <c r="I117" s="198">
        <v>89000</v>
      </c>
      <c r="J117" s="198">
        <v>90000</v>
      </c>
      <c r="K117" s="198">
        <v>104000</v>
      </c>
      <c r="M117" s="144" t="str">
        <f t="shared" si="14"/>
        <v>422</v>
      </c>
      <c r="N117" s="144" t="str">
        <f t="shared" si="15"/>
        <v>42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43</v>
      </c>
      <c r="D118" s="149" t="str">
        <f t="shared" si="12"/>
        <v>Ostali prihodi za posebne namjene</v>
      </c>
      <c r="E118" s="154">
        <v>4241</v>
      </c>
      <c r="F118" s="149" t="str">
        <f t="shared" si="11"/>
        <v>Knjige</v>
      </c>
      <c r="G118" s="201" t="s">
        <v>194</v>
      </c>
      <c r="H118" s="149" t="str">
        <f t="shared" si="13"/>
        <v>REDOVNA DJELATNOST SVEUČILIŠTA U RIJECI (IZ EVIDENCIJSKIH PRIHODA)</v>
      </c>
      <c r="I118" s="198">
        <v>30000</v>
      </c>
      <c r="J118" s="198">
        <v>30000</v>
      </c>
      <c r="K118" s="198">
        <v>30000</v>
      </c>
      <c r="M118" s="144" t="str">
        <f t="shared" si="14"/>
        <v>424</v>
      </c>
      <c r="N118" s="144" t="str">
        <f t="shared" si="15"/>
        <v>42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43</v>
      </c>
      <c r="D119" s="149" t="str">
        <f t="shared" si="12"/>
        <v>Ostali prihodi za posebne namjene</v>
      </c>
      <c r="E119" s="154">
        <v>4262</v>
      </c>
      <c r="F119" s="149" t="str">
        <f t="shared" si="11"/>
        <v>Ulaganja u računalne programe</v>
      </c>
      <c r="G119" s="201" t="s">
        <v>194</v>
      </c>
      <c r="H119" s="149" t="str">
        <f t="shared" si="13"/>
        <v>REDOVNA DJELATNOST SVEUČILIŠTA U RIJECI (IZ EVIDENCIJSKIH PRIHODA)</v>
      </c>
      <c r="I119" s="198">
        <v>113000</v>
      </c>
      <c r="J119" s="198">
        <v>114000</v>
      </c>
      <c r="K119" s="198">
        <v>132000</v>
      </c>
      <c r="M119" s="144" t="str">
        <f t="shared" si="14"/>
        <v>426</v>
      </c>
      <c r="N119" s="144" t="str">
        <f t="shared" si="15"/>
        <v>42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43</v>
      </c>
      <c r="D120" s="149" t="str">
        <f t="shared" si="12"/>
        <v>Ostali prihodi za posebne namjene</v>
      </c>
      <c r="E120" s="154">
        <v>4521</v>
      </c>
      <c r="F120" s="149" t="str">
        <f t="shared" si="11"/>
        <v>Dodatna ulaganja na postrojenjima i opremi</v>
      </c>
      <c r="G120" s="201" t="s">
        <v>194</v>
      </c>
      <c r="H120" s="149" t="str">
        <f t="shared" si="13"/>
        <v>REDOVNA DJELATNOST SVEUČILIŠTA U RIJECI (IZ EVIDENCIJSKIH PRIHODA)</v>
      </c>
      <c r="I120" s="198">
        <v>1000000</v>
      </c>
      <c r="J120" s="198">
        <v>1500000</v>
      </c>
      <c r="K120" s="198">
        <v>1500000</v>
      </c>
      <c r="M120" s="144" t="str">
        <f t="shared" si="14"/>
        <v>452</v>
      </c>
      <c r="N120" s="144" t="str">
        <f t="shared" si="15"/>
        <v>45</v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43</v>
      </c>
      <c r="D121" s="149" t="str">
        <f t="shared" si="12"/>
        <v>Ostali prihodi za posebne namjene</v>
      </c>
      <c r="E121" s="154">
        <v>5443</v>
      </c>
      <c r="F121" s="149" t="str">
        <f t="shared" si="11"/>
        <v>Otplata glavnice primljenih kredita od tuzemnih kreditnih in</v>
      </c>
      <c r="G121" s="201" t="s">
        <v>194</v>
      </c>
      <c r="H121" s="149" t="str">
        <f t="shared" si="13"/>
        <v>REDOVNA DJELATNOST SVEUČILIŠTA U RIJECI (IZ EVIDENCIJSKIH PRIHODA)</v>
      </c>
      <c r="I121" s="198">
        <v>1000000</v>
      </c>
      <c r="J121" s="198">
        <v>1000000</v>
      </c>
      <c r="K121" s="198">
        <v>600000</v>
      </c>
      <c r="M121" s="144" t="str">
        <f t="shared" si="14"/>
        <v>544</v>
      </c>
      <c r="N121" s="144" t="str">
        <f t="shared" si="15"/>
        <v>54</v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61</v>
      </c>
      <c r="D122" s="149" t="str">
        <f t="shared" si="12"/>
        <v>Donacije</v>
      </c>
      <c r="E122" s="154">
        <v>3211</v>
      </c>
      <c r="F122" s="149" t="str">
        <f t="shared" si="11"/>
        <v>Službena putovanja</v>
      </c>
      <c r="G122" s="201" t="s">
        <v>194</v>
      </c>
      <c r="H122" s="149" t="str">
        <f t="shared" si="13"/>
        <v>REDOVNA DJELATNOST SVEUČILIŠTA U RIJECI (IZ EVIDENCIJSKIH PRIHODA)</v>
      </c>
      <c r="I122" s="198">
        <v>44000</v>
      </c>
      <c r="J122" s="198">
        <v>45000</v>
      </c>
      <c r="K122" s="198">
        <v>46000</v>
      </c>
      <c r="M122" s="144" t="str">
        <f t="shared" si="14"/>
        <v>321</v>
      </c>
      <c r="N122" s="144" t="str">
        <f t="shared" si="15"/>
        <v>32</v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61</v>
      </c>
      <c r="D123" s="149" t="str">
        <f t="shared" si="12"/>
        <v>Donacije</v>
      </c>
      <c r="E123" s="154">
        <v>3213</v>
      </c>
      <c r="F123" s="149" t="str">
        <f t="shared" si="11"/>
        <v>Stručno usavršavanje zaposlenika</v>
      </c>
      <c r="G123" s="201" t="s">
        <v>194</v>
      </c>
      <c r="H123" s="149" t="str">
        <f t="shared" si="13"/>
        <v>REDOVNA DJELATNOST SVEUČILIŠTA U RIJECI (IZ EVIDENCIJSKIH PRIHODA)</v>
      </c>
      <c r="I123" s="198">
        <v>22000</v>
      </c>
      <c r="J123" s="198">
        <v>22000</v>
      </c>
      <c r="K123" s="198">
        <v>23000</v>
      </c>
      <c r="M123" s="144" t="str">
        <f t="shared" si="14"/>
        <v>321</v>
      </c>
      <c r="N123" s="144" t="str">
        <f t="shared" si="15"/>
        <v>32</v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61</v>
      </c>
      <c r="D124" s="149" t="str">
        <f t="shared" si="12"/>
        <v>Donacije</v>
      </c>
      <c r="E124" s="154">
        <v>3221</v>
      </c>
      <c r="F124" s="149" t="str">
        <f t="shared" si="11"/>
        <v>Uredski materijal i ostali materijalni rashodi</v>
      </c>
      <c r="G124" s="201" t="s">
        <v>194</v>
      </c>
      <c r="H124" s="149" t="str">
        <f t="shared" si="13"/>
        <v>REDOVNA DJELATNOST SVEUČILIŠTA U RIJECI (IZ EVIDENCIJSKIH PRIHODA)</v>
      </c>
      <c r="I124" s="198">
        <v>24000</v>
      </c>
      <c r="J124" s="198">
        <v>25000</v>
      </c>
      <c r="K124" s="198">
        <v>25000</v>
      </c>
      <c r="M124" s="144" t="str">
        <f t="shared" si="14"/>
        <v>322</v>
      </c>
      <c r="N124" s="144" t="str">
        <f t="shared" si="15"/>
        <v>32</v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61</v>
      </c>
      <c r="D125" s="149" t="str">
        <f t="shared" si="12"/>
        <v>Donacije</v>
      </c>
      <c r="E125" s="154">
        <v>3222</v>
      </c>
      <c r="F125" s="149" t="str">
        <f t="shared" si="11"/>
        <v>Materijal i sirovine</v>
      </c>
      <c r="G125" s="201" t="s">
        <v>194</v>
      </c>
      <c r="H125" s="149" t="str">
        <f t="shared" si="13"/>
        <v>REDOVNA DJELATNOST SVEUČILIŠTA U RIJECI (IZ EVIDENCIJSKIH PRIHODA)</v>
      </c>
      <c r="I125" s="198">
        <v>21000</v>
      </c>
      <c r="J125" s="198">
        <v>21000</v>
      </c>
      <c r="K125" s="198">
        <v>22000</v>
      </c>
      <c r="M125" s="144" t="str">
        <f t="shared" si="14"/>
        <v>322</v>
      </c>
      <c r="N125" s="144" t="str">
        <f t="shared" si="15"/>
        <v>32</v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61</v>
      </c>
      <c r="D126" s="149" t="str">
        <f t="shared" si="12"/>
        <v>Donacije</v>
      </c>
      <c r="E126" s="154">
        <v>3224</v>
      </c>
      <c r="F126" s="149" t="str">
        <f t="shared" si="11"/>
        <v>Materijal i dijelovi za tekuće i investicijsko održavanje</v>
      </c>
      <c r="G126" s="201" t="s">
        <v>194</v>
      </c>
      <c r="H126" s="149" t="str">
        <f t="shared" si="13"/>
        <v>REDOVNA DJELATNOST SVEUČILIŠTA U RIJECI (IZ EVIDENCIJSKIH PRIHODA)</v>
      </c>
      <c r="I126" s="198">
        <v>7000</v>
      </c>
      <c r="J126" s="198">
        <v>8000</v>
      </c>
      <c r="K126" s="198">
        <v>9000</v>
      </c>
      <c r="M126" s="144" t="str">
        <f t="shared" si="14"/>
        <v>322</v>
      </c>
      <c r="N126" s="144" t="str">
        <f t="shared" si="15"/>
        <v>32</v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>08006</v>
      </c>
      <c r="B127" s="148" t="str">
        <f>IF(C127="","",VLOOKUP('Opći dio'!$C$3,'Opći dio'!$L$6:$U$135,9,FALSE))</f>
        <v>Sveučilišta i veleučilišta u Republici Hrvatskoj</v>
      </c>
      <c r="C127" s="154">
        <v>61</v>
      </c>
      <c r="D127" s="149" t="str">
        <f t="shared" si="12"/>
        <v>Donacije</v>
      </c>
      <c r="E127" s="154">
        <v>3225</v>
      </c>
      <c r="F127" s="149" t="str">
        <f t="shared" si="11"/>
        <v>Sitni inventar i auto gume</v>
      </c>
      <c r="G127" s="201" t="s">
        <v>194</v>
      </c>
      <c r="H127" s="149" t="str">
        <f t="shared" si="13"/>
        <v>REDOVNA DJELATNOST SVEUČILIŠTA U RIJECI (IZ EVIDENCIJSKIH PRIHODA)</v>
      </c>
      <c r="I127" s="198">
        <v>4000</v>
      </c>
      <c r="J127" s="198">
        <v>4000</v>
      </c>
      <c r="K127" s="198">
        <v>4000</v>
      </c>
      <c r="M127" s="144" t="str">
        <f t="shared" si="14"/>
        <v>322</v>
      </c>
      <c r="N127" s="144" t="str">
        <f t="shared" si="15"/>
        <v>32</v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61</v>
      </c>
      <c r="D128" s="149" t="str">
        <f t="shared" si="12"/>
        <v>Donacije</v>
      </c>
      <c r="E128" s="154">
        <v>3231</v>
      </c>
      <c r="F128" s="149" t="str">
        <f t="shared" si="11"/>
        <v>Usluge telefona, pošte i prijevoza</v>
      </c>
      <c r="G128" s="201" t="s">
        <v>194</v>
      </c>
      <c r="H128" s="149" t="str">
        <f t="shared" si="13"/>
        <v>REDOVNA DJELATNOST SVEUČILIŠTA U RIJECI (IZ EVIDENCIJSKIH PRIHODA)</v>
      </c>
      <c r="I128" s="198">
        <v>1000</v>
      </c>
      <c r="J128" s="198">
        <v>1000</v>
      </c>
      <c r="K128" s="198">
        <v>1000</v>
      </c>
      <c r="M128" s="144" t="str">
        <f t="shared" si="14"/>
        <v>323</v>
      </c>
      <c r="N128" s="144" t="str">
        <f t="shared" si="15"/>
        <v>32</v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61</v>
      </c>
      <c r="D129" s="149" t="str">
        <f t="shared" si="12"/>
        <v>Donacije</v>
      </c>
      <c r="E129" s="154">
        <v>3232</v>
      </c>
      <c r="F129" s="149" t="str">
        <f t="shared" si="11"/>
        <v>Usluge tekućeg i investicijskog održavanja</v>
      </c>
      <c r="G129" s="201" t="s">
        <v>194</v>
      </c>
      <c r="H129" s="149" t="str">
        <f t="shared" si="13"/>
        <v>REDOVNA DJELATNOST SVEUČILIŠTA U RIJECI (IZ EVIDENCIJSKIH PRIHODA)</v>
      </c>
      <c r="I129" s="198">
        <v>20000</v>
      </c>
      <c r="J129" s="198">
        <v>23000</v>
      </c>
      <c r="K129" s="198">
        <v>25000</v>
      </c>
      <c r="M129" s="144" t="str">
        <f t="shared" si="14"/>
        <v>323</v>
      </c>
      <c r="N129" s="144" t="str">
        <f t="shared" si="15"/>
        <v>32</v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61</v>
      </c>
      <c r="D130" s="149" t="str">
        <f t="shared" si="12"/>
        <v>Donacije</v>
      </c>
      <c r="E130" s="154">
        <v>3235</v>
      </c>
      <c r="F130" s="149" t="str">
        <f t="shared" si="11"/>
        <v>Zakupnine i najamnine</v>
      </c>
      <c r="G130" s="201" t="s">
        <v>194</v>
      </c>
      <c r="H130" s="149" t="str">
        <f t="shared" si="13"/>
        <v>REDOVNA DJELATNOST SVEUČILIŠTA U RIJECI (IZ EVIDENCIJSKIH PRIHODA)</v>
      </c>
      <c r="I130" s="198">
        <v>1000</v>
      </c>
      <c r="J130" s="198">
        <v>2000</v>
      </c>
      <c r="K130" s="198">
        <v>2000</v>
      </c>
      <c r="M130" s="144" t="str">
        <f t="shared" si="14"/>
        <v>323</v>
      </c>
      <c r="N130" s="144" t="str">
        <f t="shared" si="15"/>
        <v>32</v>
      </c>
    </row>
    <row r="131" spans="1:22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61</v>
      </c>
      <c r="D131" s="149" t="str">
        <f t="shared" si="12"/>
        <v>Donacije</v>
      </c>
      <c r="E131" s="154">
        <v>3237</v>
      </c>
      <c r="F131" s="149" t="str">
        <f t="shared" ref="F131:F194" si="24">IFERROR(VLOOKUP(E131,$R$5:$T$129,2,FALSE),"")</f>
        <v>Intelektualne i osobne usluge</v>
      </c>
      <c r="G131" s="201" t="s">
        <v>194</v>
      </c>
      <c r="H131" s="149" t="str">
        <f t="shared" si="13"/>
        <v>REDOVNA DJELATNOST SVEUČILIŠTA U RIJECI (IZ EVIDENCIJSKIH PRIHODA)</v>
      </c>
      <c r="I131" s="198">
        <v>23000</v>
      </c>
      <c r="J131" s="198">
        <v>25000</v>
      </c>
      <c r="K131" s="198">
        <v>27000</v>
      </c>
      <c r="M131" s="144" t="str">
        <f t="shared" si="14"/>
        <v>323</v>
      </c>
      <c r="N131" s="144" t="str">
        <f t="shared" si="15"/>
        <v>32</v>
      </c>
    </row>
    <row r="132" spans="1:22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61</v>
      </c>
      <c r="D132" s="149" t="str">
        <f t="shared" ref="D132:D195" si="25">IFERROR(VLOOKUP(C132,$O$6:$P$16,2,FALSE),"")</f>
        <v>Donacije</v>
      </c>
      <c r="E132" s="154">
        <v>3239</v>
      </c>
      <c r="F132" s="149" t="str">
        <f t="shared" si="24"/>
        <v>Ostale usluge</v>
      </c>
      <c r="G132" s="201" t="s">
        <v>194</v>
      </c>
      <c r="H132" s="149" t="str">
        <f t="shared" ref="H132:H195" si="26">IFERROR(VLOOKUP(G132,$X$6:$Y$50,2,FALSE),"")</f>
        <v>REDOVNA DJELATNOST SVEUČILIŠTA U RIJECI (IZ EVIDENCIJSKIH PRIHODA)</v>
      </c>
      <c r="I132" s="198">
        <v>21000</v>
      </c>
      <c r="J132" s="198">
        <v>22000</v>
      </c>
      <c r="K132" s="198">
        <v>22000</v>
      </c>
      <c r="M132" s="144" t="str">
        <f t="shared" ref="M132:M195" si="27">LEFT(E132,3)</f>
        <v>323</v>
      </c>
      <c r="N132" s="144" t="str">
        <f t="shared" ref="N132:N195" si="28">LEFT(E132,2)</f>
        <v>32</v>
      </c>
    </row>
    <row r="133" spans="1:22">
      <c r="A133" s="148" t="str">
        <f>IF(C133="","",VLOOKUP('Opći dio'!$C$3,'Opći dio'!$L$6:$U$135,10,FALSE))</f>
        <v>08006</v>
      </c>
      <c r="B133" s="148" t="str">
        <f>IF(C133="","",VLOOKUP('Opći dio'!$C$3,'Opći dio'!$L$6:$U$135,9,FALSE))</f>
        <v>Sveučilišta i veleučilišta u Republici Hrvatskoj</v>
      </c>
      <c r="C133" s="154">
        <v>61</v>
      </c>
      <c r="D133" s="149" t="str">
        <f t="shared" si="25"/>
        <v>Donacije</v>
      </c>
      <c r="E133" s="154">
        <v>3241</v>
      </c>
      <c r="F133" s="149" t="str">
        <f t="shared" si="24"/>
        <v>Naknade troškova osobama izvan radnog odnosa</v>
      </c>
      <c r="G133" s="201" t="s">
        <v>194</v>
      </c>
      <c r="H133" s="149" t="str">
        <f t="shared" si="26"/>
        <v>REDOVNA DJELATNOST SVEUČILIŠTA U RIJECI (IZ EVIDENCIJSKIH PRIHODA)</v>
      </c>
      <c r="I133" s="198">
        <v>3000</v>
      </c>
      <c r="J133" s="198">
        <v>4000</v>
      </c>
      <c r="K133" s="198">
        <v>4000</v>
      </c>
      <c r="M133" s="144" t="str">
        <f t="shared" si="27"/>
        <v>324</v>
      </c>
      <c r="N133" s="144" t="str">
        <f t="shared" si="28"/>
        <v>32</v>
      </c>
    </row>
    <row r="134" spans="1:22">
      <c r="A134" s="148" t="str">
        <f>IF(C134="","",VLOOKUP('Opći dio'!$C$3,'Opći dio'!$L$6:$U$135,10,FALSE))</f>
        <v>08006</v>
      </c>
      <c r="B134" s="148" t="str">
        <f>IF(C134="","",VLOOKUP('Opći dio'!$C$3,'Opći dio'!$L$6:$U$135,9,FALSE))</f>
        <v>Sveučilišta i veleučilišta u Republici Hrvatskoj</v>
      </c>
      <c r="C134" s="154">
        <v>61</v>
      </c>
      <c r="D134" s="149" t="str">
        <f t="shared" si="25"/>
        <v>Donacije</v>
      </c>
      <c r="E134" s="154">
        <v>3293</v>
      </c>
      <c r="F134" s="149" t="str">
        <f t="shared" si="24"/>
        <v>Reprezentacija</v>
      </c>
      <c r="G134" s="201" t="s">
        <v>194</v>
      </c>
      <c r="H134" s="149" t="str">
        <f t="shared" si="26"/>
        <v>REDOVNA DJELATNOST SVEUČILIŠTA U RIJECI (IZ EVIDENCIJSKIH PRIHODA)</v>
      </c>
      <c r="I134" s="198">
        <v>16000</v>
      </c>
      <c r="J134" s="198">
        <v>16000</v>
      </c>
      <c r="K134" s="198">
        <v>17000</v>
      </c>
      <c r="M134" s="144" t="str">
        <f t="shared" si="27"/>
        <v>329</v>
      </c>
      <c r="N134" s="144" t="str">
        <f t="shared" si="28"/>
        <v>32</v>
      </c>
    </row>
    <row r="135" spans="1:22">
      <c r="A135" s="148" t="str">
        <f>IF(C135="","",VLOOKUP('Opći dio'!$C$3,'Opći dio'!$L$6:$U$135,10,FALSE))</f>
        <v>08006</v>
      </c>
      <c r="B135" s="148" t="str">
        <f>IF(C135="","",VLOOKUP('Opći dio'!$C$3,'Opći dio'!$L$6:$U$135,9,FALSE))</f>
        <v>Sveučilišta i veleučilišta u Republici Hrvatskoj</v>
      </c>
      <c r="C135" s="154">
        <v>61</v>
      </c>
      <c r="D135" s="149" t="str">
        <f t="shared" si="25"/>
        <v>Donacije</v>
      </c>
      <c r="E135" s="154">
        <v>3431</v>
      </c>
      <c r="F135" s="149" t="str">
        <f t="shared" si="24"/>
        <v>Bankarske usluge i usluge platnog prometa</v>
      </c>
      <c r="G135" s="201" t="s">
        <v>194</v>
      </c>
      <c r="H135" s="149" t="str">
        <f t="shared" si="26"/>
        <v>REDOVNA DJELATNOST SVEUČILIŠTA U RIJECI (IZ EVIDENCIJSKIH PRIHODA)</v>
      </c>
      <c r="I135" s="198">
        <v>1000</v>
      </c>
      <c r="J135" s="198">
        <v>1000</v>
      </c>
      <c r="K135" s="198">
        <v>1000</v>
      </c>
      <c r="M135" s="144" t="str">
        <f t="shared" si="27"/>
        <v>343</v>
      </c>
      <c r="N135" s="144" t="str">
        <f t="shared" si="28"/>
        <v>34</v>
      </c>
    </row>
    <row r="136" spans="1:22">
      <c r="A136" s="148" t="str">
        <f>IF(C136="","",VLOOKUP('Opći dio'!$C$3,'Opći dio'!$L$6:$U$135,10,FALSE))</f>
        <v>08006</v>
      </c>
      <c r="B136" s="148" t="str">
        <f>IF(C136="","",VLOOKUP('Opći dio'!$C$3,'Opći dio'!$L$6:$U$135,9,FALSE))</f>
        <v>Sveučilišta i veleučilišta u Republici Hrvatskoj</v>
      </c>
      <c r="C136" s="154">
        <v>61</v>
      </c>
      <c r="D136" s="149" t="str">
        <f t="shared" si="25"/>
        <v>Donacije</v>
      </c>
      <c r="E136" s="154">
        <v>4221</v>
      </c>
      <c r="F136" s="149" t="str">
        <f t="shared" si="24"/>
        <v>Uredska oprema i namještaj</v>
      </c>
      <c r="G136" s="201" t="s">
        <v>194</v>
      </c>
      <c r="H136" s="149" t="str">
        <f t="shared" si="26"/>
        <v>REDOVNA DJELATNOST SVEUČILIŠTA U RIJECI (IZ EVIDENCIJSKIH PRIHODA)</v>
      </c>
      <c r="I136" s="198">
        <v>5000</v>
      </c>
      <c r="J136" s="198">
        <v>6000</v>
      </c>
      <c r="K136" s="198">
        <v>7000</v>
      </c>
      <c r="M136" s="144" t="str">
        <f t="shared" si="27"/>
        <v>422</v>
      </c>
      <c r="N136" s="144" t="str">
        <f t="shared" si="28"/>
        <v>42</v>
      </c>
    </row>
    <row r="137" spans="1:22">
      <c r="A137" s="148" t="str">
        <f>IF(C137="","",VLOOKUP('Opći dio'!$C$3,'Opći dio'!$L$6:$U$135,10,FALSE))</f>
        <v>08006</v>
      </c>
      <c r="B137" s="148" t="str">
        <f>IF(C137="","",VLOOKUP('Opći dio'!$C$3,'Opći dio'!$L$6:$U$135,9,FALSE))</f>
        <v>Sveučilišta i veleučilišta u Republici Hrvatskoj</v>
      </c>
      <c r="C137" s="154">
        <v>61</v>
      </c>
      <c r="D137" s="149" t="str">
        <f t="shared" si="25"/>
        <v>Donacije</v>
      </c>
      <c r="E137" s="154">
        <v>4222</v>
      </c>
      <c r="F137" s="149" t="str">
        <f t="shared" si="24"/>
        <v>Komunikacijska oprema</v>
      </c>
      <c r="G137" s="201" t="s">
        <v>194</v>
      </c>
      <c r="H137" s="149" t="str">
        <f t="shared" si="26"/>
        <v>REDOVNA DJELATNOST SVEUČILIŠTA U RIJECI (IZ EVIDENCIJSKIH PRIHODA)</v>
      </c>
      <c r="I137" s="198">
        <v>6000</v>
      </c>
      <c r="J137" s="198">
        <v>7000</v>
      </c>
      <c r="K137" s="198">
        <v>8000</v>
      </c>
      <c r="M137" s="144" t="str">
        <f t="shared" si="27"/>
        <v>422</v>
      </c>
      <c r="N137" s="144" t="str">
        <f t="shared" si="28"/>
        <v>42</v>
      </c>
    </row>
    <row r="138" spans="1:22">
      <c r="A138" s="148" t="str">
        <f>IF(C138="","",VLOOKUP('Opći dio'!$C$3,'Opći dio'!$L$6:$U$135,10,FALSE))</f>
        <v>08006</v>
      </c>
      <c r="B138" s="148" t="str">
        <f>IF(C138="","",VLOOKUP('Opći dio'!$C$3,'Opći dio'!$L$6:$U$135,9,FALSE))</f>
        <v>Sveučilišta i veleučilišta u Republici Hrvatskoj</v>
      </c>
      <c r="C138" s="154">
        <v>61</v>
      </c>
      <c r="D138" s="149" t="str">
        <f t="shared" si="25"/>
        <v>Donacije</v>
      </c>
      <c r="E138" s="154">
        <v>4223</v>
      </c>
      <c r="F138" s="149" t="str">
        <f t="shared" si="24"/>
        <v>Oprema za održavanje i zaštitu</v>
      </c>
      <c r="G138" s="201" t="s">
        <v>194</v>
      </c>
      <c r="H138" s="149" t="str">
        <f t="shared" si="26"/>
        <v>REDOVNA DJELATNOST SVEUČILIŠTA U RIJECI (IZ EVIDENCIJSKIH PRIHODA)</v>
      </c>
      <c r="I138" s="198">
        <v>4000</v>
      </c>
      <c r="J138" s="198">
        <v>5000</v>
      </c>
      <c r="K138" s="198">
        <v>6000</v>
      </c>
      <c r="M138" s="144" t="str">
        <f t="shared" si="27"/>
        <v>422</v>
      </c>
      <c r="N138" s="144" t="str">
        <f t="shared" si="28"/>
        <v>42</v>
      </c>
    </row>
    <row r="139" spans="1:22">
      <c r="A139" s="148" t="str">
        <f>IF(C139="","",VLOOKUP('Opći dio'!$C$3,'Opći dio'!$L$6:$U$135,10,FALSE))</f>
        <v>08006</v>
      </c>
      <c r="B139" s="148" t="str">
        <f>IF(C139="","",VLOOKUP('Opći dio'!$C$3,'Opći dio'!$L$6:$U$135,9,FALSE))</f>
        <v>Sveučilišta i veleučilišta u Republici Hrvatskoj</v>
      </c>
      <c r="C139" s="154">
        <v>61</v>
      </c>
      <c r="D139" s="149" t="str">
        <f t="shared" si="25"/>
        <v>Donacije</v>
      </c>
      <c r="E139" s="154">
        <v>4224</v>
      </c>
      <c r="F139" s="149" t="str">
        <f t="shared" si="24"/>
        <v>Medicinska i laboratorijska oprema</v>
      </c>
      <c r="G139" s="201" t="s">
        <v>194</v>
      </c>
      <c r="H139" s="149" t="str">
        <f t="shared" si="26"/>
        <v>REDOVNA DJELATNOST SVEUČILIŠTA U RIJECI (IZ EVIDENCIJSKIH PRIHODA)</v>
      </c>
      <c r="I139" s="198">
        <v>10000</v>
      </c>
      <c r="J139" s="198">
        <v>12000</v>
      </c>
      <c r="K139" s="198">
        <v>15000</v>
      </c>
      <c r="M139" s="144" t="str">
        <f t="shared" si="27"/>
        <v>422</v>
      </c>
      <c r="N139" s="144" t="str">
        <f t="shared" si="28"/>
        <v>42</v>
      </c>
    </row>
    <row r="140" spans="1:22">
      <c r="A140" s="148" t="str">
        <f>IF(C140="","",VLOOKUP('Opći dio'!$C$3,'Opći dio'!$L$6:$U$135,10,FALSE))</f>
        <v>08006</v>
      </c>
      <c r="B140" s="148" t="str">
        <f>IF(C140="","",VLOOKUP('Opći dio'!$C$3,'Opći dio'!$L$6:$U$135,9,FALSE))</f>
        <v>Sveučilišta i veleučilišta u Republici Hrvatskoj</v>
      </c>
      <c r="C140" s="154">
        <v>52</v>
      </c>
      <c r="D140" s="149" t="str">
        <f t="shared" si="25"/>
        <v>Ostale pomoći</v>
      </c>
      <c r="E140" s="154">
        <v>3221</v>
      </c>
      <c r="F140" s="149" t="str">
        <f t="shared" si="24"/>
        <v>Uredski materijal i ostali materijalni rashodi</v>
      </c>
      <c r="G140" s="201" t="s">
        <v>194</v>
      </c>
      <c r="H140" s="149" t="str">
        <f t="shared" si="26"/>
        <v>REDOVNA DJELATNOST SVEUČILIŠTA U RIJECI (IZ EVIDENCIJSKIH PRIHODA)</v>
      </c>
      <c r="I140" s="198">
        <v>2000</v>
      </c>
      <c r="J140" s="198">
        <v>3000</v>
      </c>
      <c r="K140" s="198">
        <v>3000</v>
      </c>
      <c r="M140" s="144" t="str">
        <f t="shared" si="27"/>
        <v>322</v>
      </c>
      <c r="N140" s="144" t="str">
        <f t="shared" si="28"/>
        <v>32</v>
      </c>
    </row>
    <row r="141" spans="1:22">
      <c r="A141" s="148" t="str">
        <f>IF(C141="","",VLOOKUP('Opći dio'!$C$3,'Opći dio'!$L$6:$U$135,10,FALSE))</f>
        <v>08006</v>
      </c>
      <c r="B141" s="148" t="str">
        <f>IF(C141="","",VLOOKUP('Opći dio'!$C$3,'Opći dio'!$L$6:$U$135,9,FALSE))</f>
        <v>Sveučilišta i veleučilišta u Republici Hrvatskoj</v>
      </c>
      <c r="C141" s="154">
        <v>52</v>
      </c>
      <c r="D141" s="149" t="str">
        <f t="shared" si="25"/>
        <v>Ostale pomoći</v>
      </c>
      <c r="E141" s="154">
        <v>3222</v>
      </c>
      <c r="F141" s="149" t="str">
        <f t="shared" si="24"/>
        <v>Materijal i sirovine</v>
      </c>
      <c r="G141" s="201" t="s">
        <v>194</v>
      </c>
      <c r="H141" s="149" t="str">
        <f t="shared" si="26"/>
        <v>REDOVNA DJELATNOST SVEUČILIŠTA U RIJECI (IZ EVIDENCIJSKIH PRIHODA)</v>
      </c>
      <c r="I141" s="198">
        <v>6000</v>
      </c>
      <c r="J141" s="198">
        <v>6000</v>
      </c>
      <c r="K141" s="198">
        <v>7000</v>
      </c>
      <c r="M141" s="144" t="str">
        <f t="shared" si="27"/>
        <v>322</v>
      </c>
      <c r="N141" s="144" t="str">
        <f t="shared" si="28"/>
        <v>32</v>
      </c>
    </row>
    <row r="142" spans="1:22">
      <c r="A142" s="148" t="str">
        <f>IF(C142="","",VLOOKUP('Opći dio'!$C$3,'Opći dio'!$L$6:$U$135,10,FALSE))</f>
        <v>08006</v>
      </c>
      <c r="B142" s="148" t="str">
        <f>IF(C142="","",VLOOKUP('Opći dio'!$C$3,'Opći dio'!$L$6:$U$135,9,FALSE))</f>
        <v>Sveučilišta i veleučilišta u Republici Hrvatskoj</v>
      </c>
      <c r="C142" s="154">
        <v>52</v>
      </c>
      <c r="D142" s="149" t="str">
        <f t="shared" si="25"/>
        <v>Ostale pomoći</v>
      </c>
      <c r="E142" s="154">
        <v>4224</v>
      </c>
      <c r="F142" s="149" t="str">
        <f t="shared" si="24"/>
        <v>Medicinska i laboratorijska oprema</v>
      </c>
      <c r="G142" s="201" t="s">
        <v>194</v>
      </c>
      <c r="H142" s="149" t="str">
        <f t="shared" si="26"/>
        <v>REDOVNA DJELATNOST SVEUČILIŠTA U RIJECI (IZ EVIDENCIJSKIH PRIHODA)</v>
      </c>
      <c r="I142" s="198">
        <v>50000</v>
      </c>
      <c r="J142" s="198">
        <v>60000</v>
      </c>
      <c r="K142" s="198">
        <v>70000</v>
      </c>
      <c r="M142" s="144" t="str">
        <f t="shared" si="27"/>
        <v>422</v>
      </c>
      <c r="N142" s="144" t="str">
        <f t="shared" si="28"/>
        <v>42</v>
      </c>
    </row>
    <row r="143" spans="1:22">
      <c r="A143" s="148" t="str">
        <f>IF(C143="","",VLOOKUP('Opći dio'!$C$3,'Opći dio'!$L$6:$U$135,10,FALSE))</f>
        <v>08006</v>
      </c>
      <c r="B143" s="148" t="str">
        <f>IF(C143="","",VLOOKUP('Opći dio'!$C$3,'Opći dio'!$L$6:$U$135,9,FALSE))</f>
        <v>Sveučilišta i veleučilišta u Republici Hrvatskoj</v>
      </c>
      <c r="C143" s="154">
        <v>61</v>
      </c>
      <c r="D143" s="149" t="str">
        <f t="shared" si="25"/>
        <v>Donacije</v>
      </c>
      <c r="E143" s="154">
        <v>3111</v>
      </c>
      <c r="F143" s="149" t="str">
        <f t="shared" si="24"/>
        <v>Plaće za redovan rad</v>
      </c>
      <c r="G143" s="201" t="s">
        <v>194</v>
      </c>
      <c r="H143" s="149" t="str">
        <f t="shared" si="26"/>
        <v>REDOVNA DJELATNOST SVEUČILIŠTA U RIJECI (IZ EVIDENCIJSKIH PRIHODA)</v>
      </c>
      <c r="I143" s="198">
        <v>670000</v>
      </c>
      <c r="J143" s="198">
        <v>680000</v>
      </c>
      <c r="K143" s="198">
        <v>690000</v>
      </c>
      <c r="M143" s="144" t="str">
        <f t="shared" si="27"/>
        <v>311</v>
      </c>
      <c r="N143" s="144" t="str">
        <f t="shared" si="28"/>
        <v>31</v>
      </c>
    </row>
    <row r="144" spans="1:22">
      <c r="A144" s="148" t="str">
        <f>IF(C144="","",VLOOKUP('Opći dio'!$C$3,'Opći dio'!$L$6:$U$135,10,FALSE))</f>
        <v>08006</v>
      </c>
      <c r="B144" s="148" t="str">
        <f>IF(C144="","",VLOOKUP('Opći dio'!$C$3,'Opći dio'!$L$6:$U$135,9,FALSE))</f>
        <v>Sveučilišta i veleučilišta u Republici Hrvatskoj</v>
      </c>
      <c r="C144" s="154">
        <v>61</v>
      </c>
      <c r="D144" s="149" t="str">
        <f t="shared" si="25"/>
        <v>Donacije</v>
      </c>
      <c r="E144" s="154">
        <v>3132</v>
      </c>
      <c r="F144" s="149" t="str">
        <f t="shared" si="24"/>
        <v>Doprinosi za obvezno zdravstveno osiguranje</v>
      </c>
      <c r="G144" s="201" t="s">
        <v>194</v>
      </c>
      <c r="H144" s="149" t="str">
        <f t="shared" si="26"/>
        <v>REDOVNA DJELATNOST SVEUČILIŠTA U RIJECI (IZ EVIDENCIJSKIH PRIHODA)</v>
      </c>
      <c r="I144" s="198">
        <v>60000</v>
      </c>
      <c r="J144" s="198">
        <v>70000</v>
      </c>
      <c r="K144" s="198">
        <v>80000</v>
      </c>
      <c r="M144" s="144" t="str">
        <f t="shared" si="27"/>
        <v>313</v>
      </c>
      <c r="N144" s="144" t="str">
        <f t="shared" si="28"/>
        <v>31</v>
      </c>
    </row>
    <row r="145" spans="1:14">
      <c r="A145" s="148" t="str">
        <f>IF(C145="","",VLOOKUP('Opći dio'!$C$3,'Opći dio'!$L$6:$U$135,10,FALSE))</f>
        <v>08006</v>
      </c>
      <c r="B145" s="148" t="str">
        <f>IF(C145="","",VLOOKUP('Opći dio'!$C$3,'Opći dio'!$L$6:$U$135,9,FALSE))</f>
        <v>Sveučilišta i veleučilišta u Republici Hrvatskoj</v>
      </c>
      <c r="C145" s="154">
        <v>51</v>
      </c>
      <c r="D145" s="149" t="str">
        <f t="shared" si="25"/>
        <v>Pomoći EU</v>
      </c>
      <c r="E145" s="154">
        <v>3111</v>
      </c>
      <c r="F145" s="149" t="str">
        <f t="shared" si="24"/>
        <v>Plaće za redovan rad</v>
      </c>
      <c r="G145" s="201" t="s">
        <v>136</v>
      </c>
      <c r="H145" s="149" t="str">
        <f t="shared" si="26"/>
        <v>EU PROJEKTI SVEUČILIŠTA U RIJECI (IZ EVIDENCIJSKIH PRIHODA)</v>
      </c>
      <c r="I145" s="198">
        <v>1419000</v>
      </c>
      <c r="J145" s="198">
        <v>735000</v>
      </c>
      <c r="K145" s="198">
        <v>340000</v>
      </c>
      <c r="M145" s="144" t="str">
        <f t="shared" si="27"/>
        <v>311</v>
      </c>
      <c r="N145" s="144" t="str">
        <f t="shared" si="28"/>
        <v>31</v>
      </c>
    </row>
    <row r="146" spans="1:14">
      <c r="A146" s="148" t="str">
        <f>IF(C146="","",VLOOKUP('Opći dio'!$C$3,'Opći dio'!$L$6:$U$135,10,FALSE))</f>
        <v>08006</v>
      </c>
      <c r="B146" s="148" t="str">
        <f>IF(C146="","",VLOOKUP('Opći dio'!$C$3,'Opći dio'!$L$6:$U$135,9,FALSE))</f>
        <v>Sveučilišta i veleučilišta u Republici Hrvatskoj</v>
      </c>
      <c r="C146" s="154">
        <v>51</v>
      </c>
      <c r="D146" s="149" t="str">
        <f t="shared" si="25"/>
        <v>Pomoći EU</v>
      </c>
      <c r="E146" s="154">
        <v>3121</v>
      </c>
      <c r="F146" s="149" t="str">
        <f t="shared" si="24"/>
        <v>Ostali rashodi za zaposlene</v>
      </c>
      <c r="G146" s="201" t="s">
        <v>136</v>
      </c>
      <c r="H146" s="149" t="str">
        <f t="shared" si="26"/>
        <v>EU PROJEKTI SVEUČILIŠTA U RIJECI (IZ EVIDENCIJSKIH PRIHODA)</v>
      </c>
      <c r="I146" s="198">
        <v>57000</v>
      </c>
      <c r="J146" s="198">
        <v>28000</v>
      </c>
      <c r="K146" s="198">
        <v>8000</v>
      </c>
      <c r="M146" s="144" t="str">
        <f t="shared" si="27"/>
        <v>312</v>
      </c>
      <c r="N146" s="144" t="str">
        <f t="shared" si="28"/>
        <v>31</v>
      </c>
    </row>
    <row r="147" spans="1:14">
      <c r="A147" s="148" t="str">
        <f>IF(C147="","",VLOOKUP('Opći dio'!$C$3,'Opći dio'!$L$6:$U$135,10,FALSE))</f>
        <v>08006</v>
      </c>
      <c r="B147" s="148" t="str">
        <f>IF(C147="","",VLOOKUP('Opći dio'!$C$3,'Opći dio'!$L$6:$U$135,9,FALSE))</f>
        <v>Sveučilišta i veleučilišta u Republici Hrvatskoj</v>
      </c>
      <c r="C147" s="154">
        <v>51</v>
      </c>
      <c r="D147" s="149" t="str">
        <f t="shared" si="25"/>
        <v>Pomoći EU</v>
      </c>
      <c r="E147" s="154">
        <v>3132</v>
      </c>
      <c r="F147" s="149" t="str">
        <f t="shared" si="24"/>
        <v>Doprinosi za obvezno zdravstveno osiguranje</v>
      </c>
      <c r="G147" s="201" t="s">
        <v>136</v>
      </c>
      <c r="H147" s="149" t="str">
        <f t="shared" si="26"/>
        <v>EU PROJEKTI SVEUČILIŠTA U RIJECI (IZ EVIDENCIJSKIH PRIHODA)</v>
      </c>
      <c r="I147" s="198">
        <v>256000</v>
      </c>
      <c r="J147" s="198">
        <v>130000</v>
      </c>
      <c r="K147" s="198">
        <v>59000</v>
      </c>
      <c r="M147" s="144" t="str">
        <f t="shared" si="27"/>
        <v>313</v>
      </c>
      <c r="N147" s="144" t="str">
        <f t="shared" si="28"/>
        <v>31</v>
      </c>
    </row>
    <row r="148" spans="1:14">
      <c r="A148" s="148" t="str">
        <f>IF(C148="","",VLOOKUP('Opći dio'!$C$3,'Opći dio'!$L$6:$U$135,10,FALSE))</f>
        <v>08006</v>
      </c>
      <c r="B148" s="148" t="str">
        <f>IF(C148="","",VLOOKUP('Opći dio'!$C$3,'Opći dio'!$L$6:$U$135,9,FALSE))</f>
        <v>Sveučilišta i veleučilišta u Republici Hrvatskoj</v>
      </c>
      <c r="C148" s="154">
        <v>51</v>
      </c>
      <c r="D148" s="149" t="str">
        <f t="shared" si="25"/>
        <v>Pomoći EU</v>
      </c>
      <c r="E148" s="154">
        <v>3211</v>
      </c>
      <c r="F148" s="149" t="str">
        <f t="shared" si="24"/>
        <v>Službena putovanja</v>
      </c>
      <c r="G148" s="201" t="s">
        <v>136</v>
      </c>
      <c r="H148" s="149" t="str">
        <f t="shared" si="26"/>
        <v>EU PROJEKTI SVEUČILIŠTA U RIJECI (IZ EVIDENCIJSKIH PRIHODA)</v>
      </c>
      <c r="I148" s="198">
        <v>162500</v>
      </c>
      <c r="J148" s="198">
        <v>82000</v>
      </c>
      <c r="K148" s="198">
        <v>43000</v>
      </c>
      <c r="M148" s="144" t="str">
        <f t="shared" si="27"/>
        <v>321</v>
      </c>
      <c r="N148" s="144" t="str">
        <f t="shared" si="28"/>
        <v>32</v>
      </c>
    </row>
    <row r="149" spans="1:14">
      <c r="A149" s="148" t="str">
        <f>IF(C149="","",VLOOKUP('Opći dio'!$C$3,'Opći dio'!$L$6:$U$135,10,FALSE))</f>
        <v>08006</v>
      </c>
      <c r="B149" s="148" t="str">
        <f>IF(C149="","",VLOOKUP('Opći dio'!$C$3,'Opći dio'!$L$6:$U$135,9,FALSE))</f>
        <v>Sveučilišta i veleučilišta u Republici Hrvatskoj</v>
      </c>
      <c r="C149" s="154">
        <v>51</v>
      </c>
      <c r="D149" s="149" t="str">
        <f t="shared" si="25"/>
        <v>Pomoći EU</v>
      </c>
      <c r="E149" s="154">
        <v>3212</v>
      </c>
      <c r="F149" s="149" t="str">
        <f t="shared" si="24"/>
        <v>Naknade za prijevoz, za rad na terenu i odvojeni život</v>
      </c>
      <c r="G149" s="201" t="s">
        <v>136</v>
      </c>
      <c r="H149" s="149" t="str">
        <f t="shared" si="26"/>
        <v>EU PROJEKTI SVEUČILIŠTA U RIJECI (IZ EVIDENCIJSKIH PRIHODA)</v>
      </c>
      <c r="I149" s="198">
        <v>43000</v>
      </c>
      <c r="J149" s="198">
        <v>22000</v>
      </c>
      <c r="K149" s="198">
        <v>7000</v>
      </c>
      <c r="M149" s="144" t="str">
        <f t="shared" si="27"/>
        <v>321</v>
      </c>
      <c r="N149" s="144" t="str">
        <f t="shared" si="28"/>
        <v>32</v>
      </c>
    </row>
    <row r="150" spans="1:14">
      <c r="A150" s="148" t="str">
        <f>IF(C150="","",VLOOKUP('Opći dio'!$C$3,'Opći dio'!$L$6:$U$135,10,FALSE))</f>
        <v>08006</v>
      </c>
      <c r="B150" s="148" t="str">
        <f>IF(C150="","",VLOOKUP('Opći dio'!$C$3,'Opći dio'!$L$6:$U$135,9,FALSE))</f>
        <v>Sveučilišta i veleučilišta u Republici Hrvatskoj</v>
      </c>
      <c r="C150" s="154">
        <v>51</v>
      </c>
      <c r="D150" s="149" t="str">
        <f t="shared" si="25"/>
        <v>Pomoći EU</v>
      </c>
      <c r="E150" s="154">
        <v>3213</v>
      </c>
      <c r="F150" s="149" t="str">
        <f t="shared" si="24"/>
        <v>Stručno usavršavanje zaposlenika</v>
      </c>
      <c r="G150" s="201" t="s">
        <v>136</v>
      </c>
      <c r="H150" s="149" t="str">
        <f t="shared" si="26"/>
        <v>EU PROJEKTI SVEUČILIŠTA U RIJECI (IZ EVIDENCIJSKIH PRIHODA)</v>
      </c>
      <c r="I150" s="198">
        <v>39000</v>
      </c>
      <c r="J150" s="198">
        <v>19500</v>
      </c>
      <c r="K150" s="198">
        <v>10000</v>
      </c>
      <c r="M150" s="144" t="str">
        <f t="shared" si="27"/>
        <v>321</v>
      </c>
      <c r="N150" s="144" t="str">
        <f t="shared" si="28"/>
        <v>32</v>
      </c>
    </row>
    <row r="151" spans="1:14">
      <c r="A151" s="148" t="str">
        <f>IF(C151="","",VLOOKUP('Opći dio'!$C$3,'Opći dio'!$L$6:$U$135,10,FALSE))</f>
        <v>08006</v>
      </c>
      <c r="B151" s="148" t="str">
        <f>IF(C151="","",VLOOKUP('Opći dio'!$C$3,'Opći dio'!$L$6:$U$135,9,FALSE))</f>
        <v>Sveučilišta i veleučilišta u Republici Hrvatskoj</v>
      </c>
      <c r="C151" s="154">
        <v>51</v>
      </c>
      <c r="D151" s="149" t="str">
        <f t="shared" si="25"/>
        <v>Pomoći EU</v>
      </c>
      <c r="E151" s="154">
        <v>3221</v>
      </c>
      <c r="F151" s="149" t="str">
        <f t="shared" si="24"/>
        <v>Uredski materijal i ostali materijalni rashodi</v>
      </c>
      <c r="G151" s="201" t="s">
        <v>136</v>
      </c>
      <c r="H151" s="149" t="str">
        <f t="shared" si="26"/>
        <v>EU PROJEKTI SVEUČILIŠTA U RIJECI (IZ EVIDENCIJSKIH PRIHODA)</v>
      </c>
      <c r="I151" s="198">
        <v>42500</v>
      </c>
      <c r="J151" s="198">
        <v>21500</v>
      </c>
      <c r="K151" s="198">
        <v>9000</v>
      </c>
      <c r="M151" s="144" t="str">
        <f t="shared" si="27"/>
        <v>322</v>
      </c>
      <c r="N151" s="144" t="str">
        <f t="shared" si="28"/>
        <v>32</v>
      </c>
    </row>
    <row r="152" spans="1:14">
      <c r="A152" s="148" t="str">
        <f>IF(C152="","",VLOOKUP('Opći dio'!$C$3,'Opći dio'!$L$6:$U$135,10,FALSE))</f>
        <v>08006</v>
      </c>
      <c r="B152" s="148" t="str">
        <f>IF(C152="","",VLOOKUP('Opći dio'!$C$3,'Opći dio'!$L$6:$U$135,9,FALSE))</f>
        <v>Sveučilišta i veleučilišta u Republici Hrvatskoj</v>
      </c>
      <c r="C152" s="154">
        <v>51</v>
      </c>
      <c r="D152" s="149" t="str">
        <f t="shared" si="25"/>
        <v>Pomoći EU</v>
      </c>
      <c r="E152" s="154">
        <v>3222</v>
      </c>
      <c r="F152" s="149" t="str">
        <f t="shared" si="24"/>
        <v>Materijal i sirovine</v>
      </c>
      <c r="G152" s="201" t="s">
        <v>136</v>
      </c>
      <c r="H152" s="149" t="str">
        <f t="shared" si="26"/>
        <v>EU PROJEKTI SVEUČILIŠTA U RIJECI (IZ EVIDENCIJSKIH PRIHODA)</v>
      </c>
      <c r="I152" s="198">
        <v>315500</v>
      </c>
      <c r="J152" s="198">
        <v>104000</v>
      </c>
      <c r="K152" s="198">
        <v>49000</v>
      </c>
      <c r="M152" s="144" t="str">
        <f t="shared" si="27"/>
        <v>322</v>
      </c>
      <c r="N152" s="144" t="str">
        <f t="shared" si="28"/>
        <v>32</v>
      </c>
    </row>
    <row r="153" spans="1:14">
      <c r="A153" s="148" t="str">
        <f>IF(C153="","",VLOOKUP('Opći dio'!$C$3,'Opći dio'!$L$6:$U$135,10,FALSE))</f>
        <v>08006</v>
      </c>
      <c r="B153" s="148" t="str">
        <f>IF(C153="","",VLOOKUP('Opći dio'!$C$3,'Opći dio'!$L$6:$U$135,9,FALSE))</f>
        <v>Sveučilišta i veleučilišta u Republici Hrvatskoj</v>
      </c>
      <c r="C153" s="154">
        <v>51</v>
      </c>
      <c r="D153" s="149" t="str">
        <f t="shared" si="25"/>
        <v>Pomoći EU</v>
      </c>
      <c r="E153" s="154">
        <v>3224</v>
      </c>
      <c r="F153" s="149" t="str">
        <f t="shared" si="24"/>
        <v>Materijal i dijelovi za tekuće i investicijsko održavanje</v>
      </c>
      <c r="G153" s="201" t="s">
        <v>136</v>
      </c>
      <c r="H153" s="149" t="str">
        <f t="shared" si="26"/>
        <v>EU PROJEKTI SVEUČILIŠTA U RIJECI (IZ EVIDENCIJSKIH PRIHODA)</v>
      </c>
      <c r="I153" s="198">
        <v>7500</v>
      </c>
      <c r="J153" s="198">
        <v>5000</v>
      </c>
      <c r="K153" s="198">
        <v>3000</v>
      </c>
      <c r="M153" s="144" t="str">
        <f t="shared" si="27"/>
        <v>322</v>
      </c>
      <c r="N153" s="144" t="str">
        <f t="shared" si="28"/>
        <v>32</v>
      </c>
    </row>
    <row r="154" spans="1:14">
      <c r="A154" s="148" t="str">
        <f>IF(C154="","",VLOOKUP('Opći dio'!$C$3,'Opći dio'!$L$6:$U$135,10,FALSE))</f>
        <v>08006</v>
      </c>
      <c r="B154" s="148" t="str">
        <f>IF(C154="","",VLOOKUP('Opći dio'!$C$3,'Opći dio'!$L$6:$U$135,9,FALSE))</f>
        <v>Sveučilišta i veleučilišta u Republici Hrvatskoj</v>
      </c>
      <c r="C154" s="154">
        <v>51</v>
      </c>
      <c r="D154" s="149" t="str">
        <f t="shared" si="25"/>
        <v>Pomoći EU</v>
      </c>
      <c r="E154" s="154">
        <v>3225</v>
      </c>
      <c r="F154" s="149" t="str">
        <f t="shared" si="24"/>
        <v>Sitni inventar i auto gume</v>
      </c>
      <c r="G154" s="201" t="s">
        <v>136</v>
      </c>
      <c r="H154" s="149" t="str">
        <f t="shared" si="26"/>
        <v>EU PROJEKTI SVEUČILIŠTA U RIJECI (IZ EVIDENCIJSKIH PRIHODA)</v>
      </c>
      <c r="I154" s="198">
        <v>66500</v>
      </c>
      <c r="J154" s="198">
        <v>36000</v>
      </c>
      <c r="K154" s="198">
        <v>12000</v>
      </c>
      <c r="M154" s="144" t="str">
        <f t="shared" si="27"/>
        <v>322</v>
      </c>
      <c r="N154" s="144" t="str">
        <f t="shared" si="28"/>
        <v>32</v>
      </c>
    </row>
    <row r="155" spans="1:14">
      <c r="A155" s="148" t="str">
        <f>IF(C155="","",VLOOKUP('Opći dio'!$C$3,'Opći dio'!$L$6:$U$135,10,FALSE))</f>
        <v>08006</v>
      </c>
      <c r="B155" s="148" t="str">
        <f>IF(C155="","",VLOOKUP('Opći dio'!$C$3,'Opći dio'!$L$6:$U$135,9,FALSE))</f>
        <v>Sveučilišta i veleučilišta u Republici Hrvatskoj</v>
      </c>
      <c r="C155" s="154">
        <v>51</v>
      </c>
      <c r="D155" s="149" t="str">
        <f t="shared" si="25"/>
        <v>Pomoći EU</v>
      </c>
      <c r="E155" s="154">
        <v>3231</v>
      </c>
      <c r="F155" s="149" t="str">
        <f t="shared" si="24"/>
        <v>Usluge telefona, pošte i prijevoza</v>
      </c>
      <c r="G155" s="201" t="s">
        <v>136</v>
      </c>
      <c r="H155" s="149" t="str">
        <f t="shared" si="26"/>
        <v>EU PROJEKTI SVEUČILIŠTA U RIJECI (IZ EVIDENCIJSKIH PRIHODA)</v>
      </c>
      <c r="I155" s="198">
        <v>48500</v>
      </c>
      <c r="J155" s="198">
        <v>21500</v>
      </c>
      <c r="K155" s="198">
        <v>8000</v>
      </c>
      <c r="M155" s="144" t="str">
        <f t="shared" si="27"/>
        <v>323</v>
      </c>
      <c r="N155" s="144" t="str">
        <f t="shared" si="28"/>
        <v>32</v>
      </c>
    </row>
    <row r="156" spans="1:14">
      <c r="A156" s="148" t="str">
        <f>IF(C156="","",VLOOKUP('Opći dio'!$C$3,'Opći dio'!$L$6:$U$135,10,FALSE))</f>
        <v>08006</v>
      </c>
      <c r="B156" s="148" t="str">
        <f>IF(C156="","",VLOOKUP('Opći dio'!$C$3,'Opći dio'!$L$6:$U$135,9,FALSE))</f>
        <v>Sveučilišta i veleučilišta u Republici Hrvatskoj</v>
      </c>
      <c r="C156" s="154">
        <v>51</v>
      </c>
      <c r="D156" s="149" t="str">
        <f t="shared" si="25"/>
        <v>Pomoći EU</v>
      </c>
      <c r="E156" s="154">
        <v>3232</v>
      </c>
      <c r="F156" s="149" t="str">
        <f t="shared" si="24"/>
        <v>Usluge tekućeg i investicijskog održavanja</v>
      </c>
      <c r="G156" s="201" t="s">
        <v>136</v>
      </c>
      <c r="H156" s="149" t="str">
        <f t="shared" si="26"/>
        <v>EU PROJEKTI SVEUČILIŠTA U RIJECI (IZ EVIDENCIJSKIH PRIHODA)</v>
      </c>
      <c r="I156" s="198">
        <v>69500</v>
      </c>
      <c r="J156" s="198">
        <v>30000</v>
      </c>
      <c r="K156" s="198">
        <v>30000</v>
      </c>
      <c r="M156" s="144" t="str">
        <f t="shared" si="27"/>
        <v>323</v>
      </c>
      <c r="N156" s="144" t="str">
        <f t="shared" si="28"/>
        <v>32</v>
      </c>
    </row>
    <row r="157" spans="1:14">
      <c r="A157" s="148" t="str">
        <f>IF(C157="","",VLOOKUP('Opći dio'!$C$3,'Opći dio'!$L$6:$U$135,10,FALSE))</f>
        <v>08006</v>
      </c>
      <c r="B157" s="148" t="str">
        <f>IF(C157="","",VLOOKUP('Opći dio'!$C$3,'Opći dio'!$L$6:$U$135,9,FALSE))</f>
        <v>Sveučilišta i veleučilišta u Republici Hrvatskoj</v>
      </c>
      <c r="C157" s="154">
        <v>51</v>
      </c>
      <c r="D157" s="149" t="str">
        <f t="shared" si="25"/>
        <v>Pomoći EU</v>
      </c>
      <c r="E157" s="154">
        <v>3233</v>
      </c>
      <c r="F157" s="149" t="str">
        <f t="shared" si="24"/>
        <v>Usluge promidžbe i informiranja</v>
      </c>
      <c r="G157" s="201" t="s">
        <v>136</v>
      </c>
      <c r="H157" s="149" t="str">
        <f t="shared" si="26"/>
        <v>EU PROJEKTI SVEUČILIŠTA U RIJECI (IZ EVIDENCIJSKIH PRIHODA)</v>
      </c>
      <c r="I157" s="198">
        <v>34500</v>
      </c>
      <c r="J157" s="198">
        <v>8500</v>
      </c>
      <c r="K157" s="198">
        <v>3000</v>
      </c>
      <c r="M157" s="144" t="str">
        <f t="shared" si="27"/>
        <v>323</v>
      </c>
      <c r="N157" s="144" t="str">
        <f t="shared" si="28"/>
        <v>32</v>
      </c>
    </row>
    <row r="158" spans="1:14">
      <c r="A158" s="148" t="str">
        <f>IF(C158="","",VLOOKUP('Opći dio'!$C$3,'Opći dio'!$L$6:$U$135,10,FALSE))</f>
        <v>08006</v>
      </c>
      <c r="B158" s="148" t="str">
        <f>IF(C158="","",VLOOKUP('Opći dio'!$C$3,'Opći dio'!$L$6:$U$135,9,FALSE))</f>
        <v>Sveučilišta i veleučilišta u Republici Hrvatskoj</v>
      </c>
      <c r="C158" s="154">
        <v>51</v>
      </c>
      <c r="D158" s="149" t="str">
        <f t="shared" si="25"/>
        <v>Pomoći EU</v>
      </c>
      <c r="E158" s="154">
        <v>3235</v>
      </c>
      <c r="F158" s="149" t="str">
        <f t="shared" si="24"/>
        <v>Zakupnine i najamnine</v>
      </c>
      <c r="G158" s="201" t="s">
        <v>136</v>
      </c>
      <c r="H158" s="149" t="str">
        <f t="shared" si="26"/>
        <v>EU PROJEKTI SVEUČILIŠTA U RIJECI (IZ EVIDENCIJSKIH PRIHODA)</v>
      </c>
      <c r="I158" s="198">
        <v>11500</v>
      </c>
      <c r="J158" s="198">
        <v>6500</v>
      </c>
      <c r="K158" s="198">
        <v>3000</v>
      </c>
      <c r="M158" s="144" t="str">
        <f t="shared" si="27"/>
        <v>323</v>
      </c>
      <c r="N158" s="144" t="str">
        <f t="shared" si="28"/>
        <v>32</v>
      </c>
    </row>
    <row r="159" spans="1:14">
      <c r="A159" s="148" t="str">
        <f>IF(C159="","",VLOOKUP('Opći dio'!$C$3,'Opći dio'!$L$6:$U$135,10,FALSE))</f>
        <v>08006</v>
      </c>
      <c r="B159" s="148" t="str">
        <f>IF(C159="","",VLOOKUP('Opći dio'!$C$3,'Opći dio'!$L$6:$U$135,9,FALSE))</f>
        <v>Sveučilišta i veleučilišta u Republici Hrvatskoj</v>
      </c>
      <c r="C159" s="154">
        <v>51</v>
      </c>
      <c r="D159" s="149" t="str">
        <f t="shared" si="25"/>
        <v>Pomoći EU</v>
      </c>
      <c r="E159" s="154">
        <v>3237</v>
      </c>
      <c r="F159" s="149" t="str">
        <f t="shared" si="24"/>
        <v>Intelektualne i osobne usluge</v>
      </c>
      <c r="G159" s="201" t="s">
        <v>136</v>
      </c>
      <c r="H159" s="149" t="str">
        <f t="shared" si="26"/>
        <v>EU PROJEKTI SVEUČILIŠTA U RIJECI (IZ EVIDENCIJSKIH PRIHODA)</v>
      </c>
      <c r="I159" s="198">
        <v>205000</v>
      </c>
      <c r="J159" s="198">
        <v>104000</v>
      </c>
      <c r="K159" s="198">
        <v>30000</v>
      </c>
      <c r="M159" s="144" t="str">
        <f t="shared" si="27"/>
        <v>323</v>
      </c>
      <c r="N159" s="144" t="str">
        <f t="shared" si="28"/>
        <v>32</v>
      </c>
    </row>
    <row r="160" spans="1:14">
      <c r="A160" s="148" t="str">
        <f>IF(C160="","",VLOOKUP('Opći dio'!$C$3,'Opći dio'!$L$6:$U$135,10,FALSE))</f>
        <v>08006</v>
      </c>
      <c r="B160" s="148" t="str">
        <f>IF(C160="","",VLOOKUP('Opći dio'!$C$3,'Opći dio'!$L$6:$U$135,9,FALSE))</f>
        <v>Sveučilišta i veleučilišta u Republici Hrvatskoj</v>
      </c>
      <c r="C160" s="154">
        <v>51</v>
      </c>
      <c r="D160" s="149" t="str">
        <f t="shared" si="25"/>
        <v>Pomoći EU</v>
      </c>
      <c r="E160" s="154">
        <v>3238</v>
      </c>
      <c r="F160" s="149" t="str">
        <f t="shared" si="24"/>
        <v>Računalne usluge</v>
      </c>
      <c r="G160" s="201" t="s">
        <v>136</v>
      </c>
      <c r="H160" s="149" t="str">
        <f t="shared" si="26"/>
        <v>EU PROJEKTI SVEUČILIŠTA U RIJECI (IZ EVIDENCIJSKIH PRIHODA)</v>
      </c>
      <c r="I160" s="198">
        <v>13000</v>
      </c>
      <c r="J160" s="198">
        <v>7500</v>
      </c>
      <c r="K160" s="198">
        <v>5000</v>
      </c>
      <c r="M160" s="144" t="str">
        <f t="shared" si="27"/>
        <v>323</v>
      </c>
      <c r="N160" s="144" t="str">
        <f t="shared" si="28"/>
        <v>32</v>
      </c>
    </row>
    <row r="161" spans="1:14">
      <c r="A161" s="148" t="str">
        <f>IF(C161="","",VLOOKUP('Opći dio'!$C$3,'Opći dio'!$L$6:$U$135,10,FALSE))</f>
        <v>08006</v>
      </c>
      <c r="B161" s="148" t="str">
        <f>IF(C161="","",VLOOKUP('Opći dio'!$C$3,'Opći dio'!$L$6:$U$135,9,FALSE))</f>
        <v>Sveučilišta i veleučilišta u Republici Hrvatskoj</v>
      </c>
      <c r="C161" s="154">
        <v>51</v>
      </c>
      <c r="D161" s="149" t="str">
        <f t="shared" si="25"/>
        <v>Pomoći EU</v>
      </c>
      <c r="E161" s="154">
        <v>3239</v>
      </c>
      <c r="F161" s="149" t="str">
        <f t="shared" si="24"/>
        <v>Ostale usluge</v>
      </c>
      <c r="G161" s="201" t="s">
        <v>136</v>
      </c>
      <c r="H161" s="149" t="str">
        <f t="shared" si="26"/>
        <v>EU PROJEKTI SVEUČILIŠTA U RIJECI (IZ EVIDENCIJSKIH PRIHODA)</v>
      </c>
      <c r="I161" s="198">
        <v>53500</v>
      </c>
      <c r="J161" s="198">
        <v>29000</v>
      </c>
      <c r="K161" s="198">
        <v>8000</v>
      </c>
      <c r="M161" s="144" t="str">
        <f t="shared" si="27"/>
        <v>323</v>
      </c>
      <c r="N161" s="144" t="str">
        <f t="shared" si="28"/>
        <v>32</v>
      </c>
    </row>
    <row r="162" spans="1:14">
      <c r="A162" s="148" t="str">
        <f>IF(C162="","",VLOOKUP('Opći dio'!$C$3,'Opći dio'!$L$6:$U$135,10,FALSE))</f>
        <v>08006</v>
      </c>
      <c r="B162" s="148" t="str">
        <f>IF(C162="","",VLOOKUP('Opći dio'!$C$3,'Opći dio'!$L$6:$U$135,9,FALSE))</f>
        <v>Sveučilišta i veleučilišta u Republici Hrvatskoj</v>
      </c>
      <c r="C162" s="154">
        <v>51</v>
      </c>
      <c r="D162" s="149" t="str">
        <f t="shared" si="25"/>
        <v>Pomoći EU</v>
      </c>
      <c r="E162" s="154">
        <v>3241</v>
      </c>
      <c r="F162" s="149" t="str">
        <f t="shared" si="24"/>
        <v>Naknade troškova osobama izvan radnog odnosa</v>
      </c>
      <c r="G162" s="201" t="s">
        <v>136</v>
      </c>
      <c r="H162" s="149" t="str">
        <f t="shared" si="26"/>
        <v>EU PROJEKTI SVEUČILIŠTA U RIJECI (IZ EVIDENCIJSKIH PRIHODA)</v>
      </c>
      <c r="I162" s="198">
        <v>39000</v>
      </c>
      <c r="J162" s="198">
        <v>23500</v>
      </c>
      <c r="K162" s="198">
        <v>12000</v>
      </c>
      <c r="M162" s="144" t="str">
        <f t="shared" si="27"/>
        <v>324</v>
      </c>
      <c r="N162" s="144" t="str">
        <f t="shared" si="28"/>
        <v>32</v>
      </c>
    </row>
    <row r="163" spans="1:14">
      <c r="A163" s="148" t="str">
        <f>IF(C163="","",VLOOKUP('Opći dio'!$C$3,'Opći dio'!$L$6:$U$135,10,FALSE))</f>
        <v>08006</v>
      </c>
      <c r="B163" s="148" t="str">
        <f>IF(C163="","",VLOOKUP('Opći dio'!$C$3,'Opći dio'!$L$6:$U$135,9,FALSE))</f>
        <v>Sveučilišta i veleučilišta u Republici Hrvatskoj</v>
      </c>
      <c r="C163" s="154">
        <v>51</v>
      </c>
      <c r="D163" s="149" t="str">
        <f t="shared" si="25"/>
        <v>Pomoći EU</v>
      </c>
      <c r="E163" s="154">
        <v>3293</v>
      </c>
      <c r="F163" s="149" t="str">
        <f t="shared" si="24"/>
        <v>Reprezentacija</v>
      </c>
      <c r="G163" s="201" t="s">
        <v>136</v>
      </c>
      <c r="H163" s="149" t="str">
        <f t="shared" si="26"/>
        <v>EU PROJEKTI SVEUČILIŠTA U RIJECI (IZ EVIDENCIJSKIH PRIHODA)</v>
      </c>
      <c r="I163" s="198">
        <v>106000</v>
      </c>
      <c r="J163" s="198">
        <v>73500</v>
      </c>
      <c r="K163" s="198">
        <v>62000</v>
      </c>
      <c r="M163" s="144" t="str">
        <f t="shared" si="27"/>
        <v>329</v>
      </c>
      <c r="N163" s="144" t="str">
        <f t="shared" si="28"/>
        <v>32</v>
      </c>
    </row>
    <row r="164" spans="1:14">
      <c r="A164" s="148" t="str">
        <f>IF(C164="","",VLOOKUP('Opći dio'!$C$3,'Opći dio'!$L$6:$U$135,10,FALSE))</f>
        <v>08006</v>
      </c>
      <c r="B164" s="148" t="str">
        <f>IF(C164="","",VLOOKUP('Opći dio'!$C$3,'Opći dio'!$L$6:$U$135,9,FALSE))</f>
        <v>Sveučilišta i veleučilišta u Republici Hrvatskoj</v>
      </c>
      <c r="C164" s="154">
        <v>51</v>
      </c>
      <c r="D164" s="149" t="str">
        <f t="shared" si="25"/>
        <v>Pomoći EU</v>
      </c>
      <c r="E164" s="154">
        <v>3431</v>
      </c>
      <c r="F164" s="149" t="str">
        <f t="shared" si="24"/>
        <v>Bankarske usluge i usluge platnog prometa</v>
      </c>
      <c r="G164" s="201" t="s">
        <v>136</v>
      </c>
      <c r="H164" s="149" t="str">
        <f t="shared" si="26"/>
        <v>EU PROJEKTI SVEUČILIŠTA U RIJECI (IZ EVIDENCIJSKIH PRIHODA)</v>
      </c>
      <c r="I164" s="198">
        <v>6500</v>
      </c>
      <c r="J164" s="198">
        <v>4500</v>
      </c>
      <c r="K164" s="198">
        <v>3000</v>
      </c>
      <c r="M164" s="144" t="str">
        <f t="shared" si="27"/>
        <v>343</v>
      </c>
      <c r="N164" s="144" t="str">
        <f t="shared" si="28"/>
        <v>34</v>
      </c>
    </row>
    <row r="165" spans="1:14">
      <c r="A165" s="148" t="str">
        <f>IF(C165="","",VLOOKUP('Opći dio'!$C$3,'Opći dio'!$L$6:$U$135,10,FALSE))</f>
        <v>08006</v>
      </c>
      <c r="B165" s="148" t="str">
        <f>IF(C165="","",VLOOKUP('Opći dio'!$C$3,'Opći dio'!$L$6:$U$135,9,FALSE))</f>
        <v>Sveučilišta i veleučilišta u Republici Hrvatskoj</v>
      </c>
      <c r="C165" s="154">
        <v>51</v>
      </c>
      <c r="D165" s="149" t="str">
        <f t="shared" si="25"/>
        <v>Pomoći EU</v>
      </c>
      <c r="E165" s="154">
        <v>4123</v>
      </c>
      <c r="F165" s="149" t="str">
        <f t="shared" si="24"/>
        <v>Licence</v>
      </c>
      <c r="G165" s="201" t="s">
        <v>136</v>
      </c>
      <c r="H165" s="149" t="str">
        <f t="shared" si="26"/>
        <v>EU PROJEKTI SVEUČILIŠTA U RIJECI (IZ EVIDENCIJSKIH PRIHODA)</v>
      </c>
      <c r="I165" s="198">
        <v>100000</v>
      </c>
      <c r="J165" s="198">
        <v>50000</v>
      </c>
      <c r="K165" s="198">
        <v>0</v>
      </c>
      <c r="M165" s="144" t="str">
        <f t="shared" si="27"/>
        <v>412</v>
      </c>
      <c r="N165" s="144" t="str">
        <f t="shared" si="28"/>
        <v>41</v>
      </c>
    </row>
    <row r="166" spans="1:14">
      <c r="A166" s="148" t="str">
        <f>IF(C166="","",VLOOKUP('Opći dio'!$C$3,'Opći dio'!$L$6:$U$135,10,FALSE))</f>
        <v>08006</v>
      </c>
      <c r="B166" s="148" t="str">
        <f>IF(C166="","",VLOOKUP('Opći dio'!$C$3,'Opći dio'!$L$6:$U$135,9,FALSE))</f>
        <v>Sveučilišta i veleučilišta u Republici Hrvatskoj</v>
      </c>
      <c r="C166" s="154">
        <v>51</v>
      </c>
      <c r="D166" s="149" t="str">
        <f t="shared" si="25"/>
        <v>Pomoći EU</v>
      </c>
      <c r="E166" s="154">
        <v>4221</v>
      </c>
      <c r="F166" s="149" t="str">
        <f t="shared" si="24"/>
        <v>Uredska oprema i namještaj</v>
      </c>
      <c r="G166" s="201" t="s">
        <v>136</v>
      </c>
      <c r="H166" s="149" t="str">
        <f t="shared" si="26"/>
        <v>EU PROJEKTI SVEUČILIŠTA U RIJECI (IZ EVIDENCIJSKIH PRIHODA)</v>
      </c>
      <c r="I166" s="198">
        <v>94000</v>
      </c>
      <c r="J166" s="198">
        <v>43500</v>
      </c>
      <c r="K166" s="198">
        <v>14000</v>
      </c>
      <c r="M166" s="144" t="str">
        <f t="shared" si="27"/>
        <v>422</v>
      </c>
      <c r="N166" s="144" t="str">
        <f t="shared" si="28"/>
        <v>42</v>
      </c>
    </row>
    <row r="167" spans="1:14">
      <c r="A167" s="148" t="str">
        <f>IF(C167="","",VLOOKUP('Opći dio'!$C$3,'Opći dio'!$L$6:$U$135,10,FALSE))</f>
        <v>08006</v>
      </c>
      <c r="B167" s="148" t="str">
        <f>IF(C167="","",VLOOKUP('Opći dio'!$C$3,'Opći dio'!$L$6:$U$135,9,FALSE))</f>
        <v>Sveučilišta i veleučilišta u Republici Hrvatskoj</v>
      </c>
      <c r="C167" s="154">
        <v>51</v>
      </c>
      <c r="D167" s="149" t="str">
        <f t="shared" si="25"/>
        <v>Pomoći EU</v>
      </c>
      <c r="E167" s="154">
        <v>4222</v>
      </c>
      <c r="F167" s="149" t="str">
        <f t="shared" si="24"/>
        <v>Komunikacijska oprema</v>
      </c>
      <c r="G167" s="201" t="s">
        <v>136</v>
      </c>
      <c r="H167" s="149" t="str">
        <f t="shared" si="26"/>
        <v>EU PROJEKTI SVEUČILIŠTA U RIJECI (IZ EVIDENCIJSKIH PRIHODA)</v>
      </c>
      <c r="I167" s="198">
        <v>163500</v>
      </c>
      <c r="J167" s="198">
        <v>123000</v>
      </c>
      <c r="K167" s="198">
        <v>111000</v>
      </c>
      <c r="M167" s="144" t="str">
        <f t="shared" si="27"/>
        <v>422</v>
      </c>
      <c r="N167" s="144" t="str">
        <f t="shared" si="28"/>
        <v>42</v>
      </c>
    </row>
    <row r="168" spans="1:14">
      <c r="A168" s="148" t="str">
        <f>IF(C168="","",VLOOKUP('Opći dio'!$C$3,'Opći dio'!$L$6:$U$135,10,FALSE))</f>
        <v>08006</v>
      </c>
      <c r="B168" s="148" t="str">
        <f>IF(C168="","",VLOOKUP('Opći dio'!$C$3,'Opći dio'!$L$6:$U$135,9,FALSE))</f>
        <v>Sveučilišta i veleučilišta u Republici Hrvatskoj</v>
      </c>
      <c r="C168" s="154">
        <v>51</v>
      </c>
      <c r="D168" s="149" t="str">
        <f t="shared" si="25"/>
        <v>Pomoći EU</v>
      </c>
      <c r="E168" s="154">
        <v>4224</v>
      </c>
      <c r="F168" s="149" t="str">
        <f t="shared" si="24"/>
        <v>Medicinska i laboratorijska oprema</v>
      </c>
      <c r="G168" s="201" t="s">
        <v>136</v>
      </c>
      <c r="H168" s="149" t="str">
        <f t="shared" si="26"/>
        <v>EU PROJEKTI SVEUČILIŠTA U RIJECI (IZ EVIDENCIJSKIH PRIHODA)</v>
      </c>
      <c r="I168" s="198">
        <v>111500</v>
      </c>
      <c r="J168" s="198">
        <v>58000</v>
      </c>
      <c r="K168" s="198">
        <v>12000</v>
      </c>
      <c r="M168" s="144" t="str">
        <f t="shared" si="27"/>
        <v>422</v>
      </c>
      <c r="N168" s="144" t="str">
        <f t="shared" si="28"/>
        <v>42</v>
      </c>
    </row>
    <row r="169" spans="1:14">
      <c r="A169" s="148" t="str">
        <f>IF(C169="","",VLOOKUP('Opći dio'!$C$3,'Opći dio'!$L$6:$U$135,10,FALSE))</f>
        <v>08006</v>
      </c>
      <c r="B169" s="148" t="str">
        <f>IF(C169="","",VLOOKUP('Opći dio'!$C$3,'Opći dio'!$L$6:$U$135,9,FALSE))</f>
        <v>Sveučilišta i veleučilišta u Republici Hrvatskoj</v>
      </c>
      <c r="C169" s="154">
        <v>52</v>
      </c>
      <c r="D169" s="149" t="str">
        <f t="shared" si="25"/>
        <v>Ostale pomoći</v>
      </c>
      <c r="E169" s="154">
        <v>3111</v>
      </c>
      <c r="F169" s="149" t="str">
        <f t="shared" si="24"/>
        <v>Plaće za redovan rad</v>
      </c>
      <c r="G169" s="201" t="s">
        <v>136</v>
      </c>
      <c r="H169" s="149" t="str">
        <f t="shared" si="26"/>
        <v>EU PROJEKTI SVEUČILIŠTA U RIJECI (IZ EVIDENCIJSKIH PRIHODA)</v>
      </c>
      <c r="I169" s="198">
        <v>80000</v>
      </c>
      <c r="J169" s="198">
        <v>0</v>
      </c>
      <c r="K169" s="198">
        <v>0</v>
      </c>
      <c r="M169" s="144" t="str">
        <f t="shared" si="27"/>
        <v>311</v>
      </c>
      <c r="N169" s="144" t="str">
        <f t="shared" si="28"/>
        <v>31</v>
      </c>
    </row>
    <row r="170" spans="1:14">
      <c r="A170" s="148" t="str">
        <f>IF(C170="","",VLOOKUP('Opći dio'!$C$3,'Opći dio'!$L$6:$U$135,10,FALSE))</f>
        <v>08006</v>
      </c>
      <c r="B170" s="148" t="str">
        <f>IF(C170="","",VLOOKUP('Opći dio'!$C$3,'Opći dio'!$L$6:$U$135,9,FALSE))</f>
        <v>Sveučilišta i veleučilišta u Republici Hrvatskoj</v>
      </c>
      <c r="C170" s="154">
        <v>52</v>
      </c>
      <c r="D170" s="149" t="str">
        <f t="shared" si="25"/>
        <v>Ostale pomoći</v>
      </c>
      <c r="E170" s="154">
        <v>3121</v>
      </c>
      <c r="F170" s="149" t="str">
        <f t="shared" si="24"/>
        <v>Ostali rashodi za zaposlene</v>
      </c>
      <c r="G170" s="201" t="s">
        <v>136</v>
      </c>
      <c r="H170" s="149" t="str">
        <f t="shared" si="26"/>
        <v>EU PROJEKTI SVEUČILIŠTA U RIJECI (IZ EVIDENCIJSKIH PRIHODA)</v>
      </c>
      <c r="I170" s="198">
        <v>5000</v>
      </c>
      <c r="J170" s="198">
        <v>0</v>
      </c>
      <c r="K170" s="198">
        <v>0</v>
      </c>
      <c r="M170" s="144" t="str">
        <f t="shared" si="27"/>
        <v>312</v>
      </c>
      <c r="N170" s="144" t="str">
        <f t="shared" si="28"/>
        <v>31</v>
      </c>
    </row>
    <row r="171" spans="1:14">
      <c r="A171" s="148" t="str">
        <f>IF(C171="","",VLOOKUP('Opći dio'!$C$3,'Opći dio'!$L$6:$U$135,10,FALSE))</f>
        <v>08006</v>
      </c>
      <c r="B171" s="148" t="str">
        <f>IF(C171="","",VLOOKUP('Opći dio'!$C$3,'Opći dio'!$L$6:$U$135,9,FALSE))</f>
        <v>Sveučilišta i veleučilišta u Republici Hrvatskoj</v>
      </c>
      <c r="C171" s="154">
        <v>52</v>
      </c>
      <c r="D171" s="149" t="str">
        <f t="shared" si="25"/>
        <v>Ostale pomoći</v>
      </c>
      <c r="E171" s="154">
        <v>3132</v>
      </c>
      <c r="F171" s="149" t="str">
        <f t="shared" si="24"/>
        <v>Doprinosi za obvezno zdravstveno osiguranje</v>
      </c>
      <c r="G171" s="201" t="s">
        <v>136</v>
      </c>
      <c r="H171" s="149" t="str">
        <f t="shared" si="26"/>
        <v>EU PROJEKTI SVEUČILIŠTA U RIJECI (IZ EVIDENCIJSKIH PRIHODA)</v>
      </c>
      <c r="I171" s="198">
        <v>20000</v>
      </c>
      <c r="J171" s="198">
        <v>0</v>
      </c>
      <c r="K171" s="198">
        <v>0</v>
      </c>
      <c r="M171" s="144" t="str">
        <f t="shared" si="27"/>
        <v>313</v>
      </c>
      <c r="N171" s="144" t="str">
        <f t="shared" si="28"/>
        <v>31</v>
      </c>
    </row>
    <row r="172" spans="1:14">
      <c r="A172" s="148" t="str">
        <f>IF(C172="","",VLOOKUP('Opći dio'!$C$3,'Opći dio'!$L$6:$U$135,10,FALSE))</f>
        <v>08006</v>
      </c>
      <c r="B172" s="148" t="str">
        <f>IF(C172="","",VLOOKUP('Opći dio'!$C$3,'Opći dio'!$L$6:$U$135,9,FALSE))</f>
        <v>Sveučilišta i veleučilišta u Republici Hrvatskoj</v>
      </c>
      <c r="C172" s="154">
        <v>52</v>
      </c>
      <c r="D172" s="149" t="str">
        <f t="shared" si="25"/>
        <v>Ostale pomoći</v>
      </c>
      <c r="E172" s="154">
        <v>3211</v>
      </c>
      <c r="F172" s="149" t="str">
        <f t="shared" si="24"/>
        <v>Službena putovanja</v>
      </c>
      <c r="G172" s="201" t="s">
        <v>136</v>
      </c>
      <c r="H172" s="149" t="str">
        <f t="shared" si="26"/>
        <v>EU PROJEKTI SVEUČILIŠTA U RIJECI (IZ EVIDENCIJSKIH PRIHODA)</v>
      </c>
      <c r="I172" s="198">
        <v>20000</v>
      </c>
      <c r="J172" s="198">
        <v>25000</v>
      </c>
      <c r="K172" s="198">
        <v>30000</v>
      </c>
      <c r="M172" s="144" t="str">
        <f t="shared" si="27"/>
        <v>321</v>
      </c>
      <c r="N172" s="144" t="str">
        <f t="shared" si="28"/>
        <v>32</v>
      </c>
    </row>
    <row r="173" spans="1:14">
      <c r="A173" s="148" t="str">
        <f>IF(C173="","",VLOOKUP('Opći dio'!$C$3,'Opći dio'!$L$6:$U$135,10,FALSE))</f>
        <v>08006</v>
      </c>
      <c r="B173" s="148" t="str">
        <f>IF(C173="","",VLOOKUP('Opći dio'!$C$3,'Opći dio'!$L$6:$U$135,9,FALSE))</f>
        <v>Sveučilišta i veleučilišta u Republici Hrvatskoj</v>
      </c>
      <c r="C173" s="154">
        <v>52</v>
      </c>
      <c r="D173" s="149" t="str">
        <f t="shared" si="25"/>
        <v>Ostale pomoći</v>
      </c>
      <c r="E173" s="154">
        <v>3111</v>
      </c>
      <c r="F173" s="149" t="str">
        <f t="shared" si="24"/>
        <v>Plaće za redovan rad</v>
      </c>
      <c r="G173" s="201" t="s">
        <v>194</v>
      </c>
      <c r="H173" s="149" t="str">
        <f t="shared" si="26"/>
        <v>REDOVNA DJELATNOST SVEUČILIŠTA U RIJECI (IZ EVIDENCIJSKIH PRIHODA)</v>
      </c>
      <c r="I173" s="198">
        <v>183000</v>
      </c>
      <c r="J173" s="198">
        <v>190000</v>
      </c>
      <c r="K173" s="198">
        <v>194000</v>
      </c>
      <c r="M173" s="144" t="str">
        <f t="shared" si="27"/>
        <v>311</v>
      </c>
      <c r="N173" s="144" t="str">
        <f t="shared" si="28"/>
        <v>31</v>
      </c>
    </row>
    <row r="174" spans="1:14">
      <c r="A174" s="148" t="str">
        <f>IF(C174="","",VLOOKUP('Opći dio'!$C$3,'Opći dio'!$L$6:$U$135,10,FALSE))</f>
        <v>08006</v>
      </c>
      <c r="B174" s="148" t="str">
        <f>IF(C174="","",VLOOKUP('Opći dio'!$C$3,'Opći dio'!$L$6:$U$135,9,FALSE))</f>
        <v>Sveučilišta i veleučilišta u Republici Hrvatskoj</v>
      </c>
      <c r="C174" s="154">
        <v>52</v>
      </c>
      <c r="D174" s="149" t="str">
        <f t="shared" si="25"/>
        <v>Ostale pomoći</v>
      </c>
      <c r="E174" s="154">
        <v>3121</v>
      </c>
      <c r="F174" s="149" t="str">
        <f t="shared" si="24"/>
        <v>Ostali rashodi za zaposlene</v>
      </c>
      <c r="G174" s="201" t="s">
        <v>194</v>
      </c>
      <c r="H174" s="149" t="str">
        <f t="shared" si="26"/>
        <v>REDOVNA DJELATNOST SVEUČILIŠTA U RIJECI (IZ EVIDENCIJSKIH PRIHODA)</v>
      </c>
      <c r="I174" s="198">
        <v>10000</v>
      </c>
      <c r="J174" s="198">
        <v>12000</v>
      </c>
      <c r="K174" s="198">
        <v>15000</v>
      </c>
      <c r="M174" s="144" t="str">
        <f t="shared" si="27"/>
        <v>312</v>
      </c>
      <c r="N174" s="144" t="str">
        <f t="shared" si="28"/>
        <v>31</v>
      </c>
    </row>
    <row r="175" spans="1:14">
      <c r="A175" s="148" t="str">
        <f>IF(C175="","",VLOOKUP('Opći dio'!$C$3,'Opći dio'!$L$6:$U$135,10,FALSE))</f>
        <v>08006</v>
      </c>
      <c r="B175" s="148" t="str">
        <f>IF(C175="","",VLOOKUP('Opći dio'!$C$3,'Opći dio'!$L$6:$U$135,9,FALSE))</f>
        <v>Sveučilišta i veleučilišta u Republici Hrvatskoj</v>
      </c>
      <c r="C175" s="154">
        <v>52</v>
      </c>
      <c r="D175" s="149" t="str">
        <f t="shared" si="25"/>
        <v>Ostale pomoći</v>
      </c>
      <c r="E175" s="154">
        <v>3132</v>
      </c>
      <c r="F175" s="149" t="str">
        <f t="shared" si="24"/>
        <v>Doprinosi za obvezno zdravstveno osiguranje</v>
      </c>
      <c r="G175" s="201" t="s">
        <v>194</v>
      </c>
      <c r="H175" s="149" t="str">
        <f t="shared" si="26"/>
        <v>REDOVNA DJELATNOST SVEUČILIŠTA U RIJECI (IZ EVIDENCIJSKIH PRIHODA)</v>
      </c>
      <c r="I175" s="198">
        <v>29000</v>
      </c>
      <c r="J175" s="198">
        <v>32000</v>
      </c>
      <c r="K175" s="198">
        <v>34000</v>
      </c>
      <c r="M175" s="144" t="str">
        <f t="shared" si="27"/>
        <v>313</v>
      </c>
      <c r="N175" s="144" t="str">
        <f t="shared" si="28"/>
        <v>31</v>
      </c>
    </row>
    <row r="176" spans="1:14">
      <c r="A176" s="148" t="str">
        <f>IF(C176="","",VLOOKUP('Opći dio'!$C$3,'Opći dio'!$L$6:$U$135,10,FALSE))</f>
        <v>08006</v>
      </c>
      <c r="B176" s="148" t="str">
        <f>IF(C176="","",VLOOKUP('Opći dio'!$C$3,'Opći dio'!$L$6:$U$135,9,FALSE))</f>
        <v>Sveučilišta i veleučilišta u Republici Hrvatskoj</v>
      </c>
      <c r="C176" s="154">
        <v>52</v>
      </c>
      <c r="D176" s="149" t="str">
        <f t="shared" si="25"/>
        <v>Ostale pomoći</v>
      </c>
      <c r="E176" s="154">
        <v>3211</v>
      </c>
      <c r="F176" s="149" t="str">
        <f t="shared" si="24"/>
        <v>Službena putovanja</v>
      </c>
      <c r="G176" s="201" t="s">
        <v>194</v>
      </c>
      <c r="H176" s="149" t="str">
        <f t="shared" si="26"/>
        <v>REDOVNA DJELATNOST SVEUČILIŠTA U RIJECI (IZ EVIDENCIJSKIH PRIHODA)</v>
      </c>
      <c r="I176" s="198">
        <v>5000</v>
      </c>
      <c r="J176" s="198">
        <v>7000</v>
      </c>
      <c r="K176" s="198">
        <v>9000</v>
      </c>
      <c r="M176" s="144" t="str">
        <f t="shared" si="27"/>
        <v>321</v>
      </c>
      <c r="N176" s="144" t="str">
        <f t="shared" si="28"/>
        <v>32</v>
      </c>
    </row>
    <row r="177" spans="1:14">
      <c r="A177" s="148" t="str">
        <f>IF(C177="","",VLOOKUP('Opći dio'!$C$3,'Opći dio'!$L$6:$U$135,10,FALSE))</f>
        <v>08006</v>
      </c>
      <c r="B177" s="148" t="str">
        <f>IF(C177="","",VLOOKUP('Opći dio'!$C$3,'Opći dio'!$L$6:$U$135,9,FALSE))</f>
        <v>Sveučilišta i veleučilišta u Republici Hrvatskoj</v>
      </c>
      <c r="C177" s="154">
        <v>52</v>
      </c>
      <c r="D177" s="149" t="str">
        <f t="shared" si="25"/>
        <v>Ostale pomoći</v>
      </c>
      <c r="E177" s="154">
        <v>3212</v>
      </c>
      <c r="F177" s="149" t="str">
        <f t="shared" si="24"/>
        <v>Naknade za prijevoz, za rad na terenu i odvojeni život</v>
      </c>
      <c r="G177" s="201" t="s">
        <v>194</v>
      </c>
      <c r="H177" s="149" t="str">
        <f t="shared" si="26"/>
        <v>REDOVNA DJELATNOST SVEUČILIŠTA U RIJECI (IZ EVIDENCIJSKIH PRIHODA)</v>
      </c>
      <c r="I177" s="198">
        <v>1000</v>
      </c>
      <c r="J177" s="198">
        <v>2000</v>
      </c>
      <c r="K177" s="198">
        <v>3000</v>
      </c>
      <c r="M177" s="144" t="str">
        <f t="shared" si="27"/>
        <v>321</v>
      </c>
      <c r="N177" s="144" t="str">
        <f t="shared" si="28"/>
        <v>32</v>
      </c>
    </row>
    <row r="178" spans="1:14">
      <c r="A178" s="148" t="str">
        <f>IF(C178="","",VLOOKUP('Opći dio'!$C$3,'Opći dio'!$L$6:$U$135,10,FALSE))</f>
        <v>08006</v>
      </c>
      <c r="B178" s="148" t="str">
        <f>IF(C178="","",VLOOKUP('Opći dio'!$C$3,'Opći dio'!$L$6:$U$135,9,FALSE))</f>
        <v>Sveučilišta i veleučilišta u Republici Hrvatskoj</v>
      </c>
      <c r="C178" s="154">
        <v>52</v>
      </c>
      <c r="D178" s="149" t="str">
        <f t="shared" si="25"/>
        <v>Ostale pomoći</v>
      </c>
      <c r="E178" s="154">
        <v>3213</v>
      </c>
      <c r="F178" s="149" t="str">
        <f t="shared" si="24"/>
        <v>Stručno usavršavanje zaposlenika</v>
      </c>
      <c r="G178" s="201" t="s">
        <v>194</v>
      </c>
      <c r="H178" s="149" t="str">
        <f t="shared" si="26"/>
        <v>REDOVNA DJELATNOST SVEUČILIŠTA U RIJECI (IZ EVIDENCIJSKIH PRIHODA)</v>
      </c>
      <c r="I178" s="198">
        <v>9000</v>
      </c>
      <c r="J178" s="198">
        <v>9000</v>
      </c>
      <c r="K178" s="198">
        <v>12000</v>
      </c>
      <c r="M178" s="144" t="str">
        <f t="shared" si="27"/>
        <v>321</v>
      </c>
      <c r="N178" s="144" t="str">
        <f t="shared" si="28"/>
        <v>32</v>
      </c>
    </row>
    <row r="179" spans="1:14">
      <c r="A179" s="148" t="str">
        <f>IF(C179="","",VLOOKUP('Opći dio'!$C$3,'Opći dio'!$L$6:$U$135,10,FALSE))</f>
        <v>08006</v>
      </c>
      <c r="B179" s="148" t="str">
        <f>IF(C179="","",VLOOKUP('Opći dio'!$C$3,'Opći dio'!$L$6:$U$135,9,FALSE))</f>
        <v>Sveučilišta i veleučilišta u Republici Hrvatskoj</v>
      </c>
      <c r="C179" s="154">
        <v>52</v>
      </c>
      <c r="D179" s="149" t="str">
        <f t="shared" si="25"/>
        <v>Ostale pomoći</v>
      </c>
      <c r="E179" s="154">
        <v>3222</v>
      </c>
      <c r="F179" s="149" t="str">
        <f t="shared" si="24"/>
        <v>Materijal i sirovine</v>
      </c>
      <c r="G179" s="201" t="s">
        <v>194</v>
      </c>
      <c r="H179" s="149" t="str">
        <f t="shared" si="26"/>
        <v>REDOVNA DJELATNOST SVEUČILIŠTA U RIJECI (IZ EVIDENCIJSKIH PRIHODA)</v>
      </c>
      <c r="I179" s="198">
        <v>116000</v>
      </c>
      <c r="J179" s="198">
        <v>119000</v>
      </c>
      <c r="K179" s="198">
        <v>123000</v>
      </c>
      <c r="M179" s="144" t="str">
        <f t="shared" si="27"/>
        <v>322</v>
      </c>
      <c r="N179" s="144" t="str">
        <f t="shared" si="28"/>
        <v>32</v>
      </c>
    </row>
    <row r="180" spans="1:14">
      <c r="A180" s="148" t="str">
        <f>IF(C180="","",VLOOKUP('Opći dio'!$C$3,'Opći dio'!$L$6:$U$135,10,FALSE))</f>
        <v>08006</v>
      </c>
      <c r="B180" s="148" t="str">
        <f>IF(C180="","",VLOOKUP('Opći dio'!$C$3,'Opći dio'!$L$6:$U$135,9,FALSE))</f>
        <v>Sveučilišta i veleučilišta u Republici Hrvatskoj</v>
      </c>
      <c r="C180" s="154">
        <v>52</v>
      </c>
      <c r="D180" s="149" t="str">
        <f t="shared" si="25"/>
        <v>Ostale pomoći</v>
      </c>
      <c r="E180" s="154">
        <v>3231</v>
      </c>
      <c r="F180" s="149" t="str">
        <f t="shared" si="24"/>
        <v>Usluge telefona, pošte i prijevoza</v>
      </c>
      <c r="G180" s="201" t="s">
        <v>194</v>
      </c>
      <c r="H180" s="149" t="str">
        <f t="shared" si="26"/>
        <v>REDOVNA DJELATNOST SVEUČILIŠTA U RIJECI (IZ EVIDENCIJSKIH PRIHODA)</v>
      </c>
      <c r="I180" s="198">
        <v>33000</v>
      </c>
      <c r="J180" s="198">
        <v>37000</v>
      </c>
      <c r="K180" s="198">
        <v>39000</v>
      </c>
      <c r="M180" s="144" t="str">
        <f t="shared" si="27"/>
        <v>323</v>
      </c>
      <c r="N180" s="144" t="str">
        <f t="shared" si="28"/>
        <v>32</v>
      </c>
    </row>
    <row r="181" spans="1:14">
      <c r="A181" s="148" t="str">
        <f>IF(C181="","",VLOOKUP('Opći dio'!$C$3,'Opći dio'!$L$6:$U$135,10,FALSE))</f>
        <v>08006</v>
      </c>
      <c r="B181" s="148" t="str">
        <f>IF(C181="","",VLOOKUP('Opći dio'!$C$3,'Opći dio'!$L$6:$U$135,9,FALSE))</f>
        <v>Sveučilišta i veleučilišta u Republici Hrvatskoj</v>
      </c>
      <c r="C181" s="154">
        <v>52</v>
      </c>
      <c r="D181" s="149" t="str">
        <f t="shared" si="25"/>
        <v>Ostale pomoći</v>
      </c>
      <c r="E181" s="154">
        <v>3232</v>
      </c>
      <c r="F181" s="149" t="str">
        <f t="shared" si="24"/>
        <v>Usluge tekućeg i investicijskog održavanja</v>
      </c>
      <c r="G181" s="201" t="s">
        <v>194</v>
      </c>
      <c r="H181" s="149" t="str">
        <f t="shared" si="26"/>
        <v>REDOVNA DJELATNOST SVEUČILIŠTA U RIJECI (IZ EVIDENCIJSKIH PRIHODA)</v>
      </c>
      <c r="I181" s="198">
        <v>1000</v>
      </c>
      <c r="J181" s="198">
        <v>2000</v>
      </c>
      <c r="K181" s="198">
        <v>3000</v>
      </c>
      <c r="M181" s="144" t="str">
        <f t="shared" si="27"/>
        <v>323</v>
      </c>
      <c r="N181" s="144" t="str">
        <f t="shared" si="28"/>
        <v>32</v>
      </c>
    </row>
    <row r="182" spans="1:14">
      <c r="A182" s="148" t="str">
        <f>IF(C182="","",VLOOKUP('Opći dio'!$C$3,'Opći dio'!$L$6:$U$135,10,FALSE))</f>
        <v>08006</v>
      </c>
      <c r="B182" s="148" t="str">
        <f>IF(C182="","",VLOOKUP('Opći dio'!$C$3,'Opći dio'!$L$6:$U$135,9,FALSE))</f>
        <v>Sveučilišta i veleučilišta u Republici Hrvatskoj</v>
      </c>
      <c r="C182" s="154">
        <v>52</v>
      </c>
      <c r="D182" s="149" t="str">
        <f t="shared" si="25"/>
        <v>Ostale pomoći</v>
      </c>
      <c r="E182" s="154">
        <v>3237</v>
      </c>
      <c r="F182" s="149" t="str">
        <f t="shared" si="24"/>
        <v>Intelektualne i osobne usluge</v>
      </c>
      <c r="G182" s="201" t="s">
        <v>194</v>
      </c>
      <c r="H182" s="149" t="str">
        <f t="shared" si="26"/>
        <v>REDOVNA DJELATNOST SVEUČILIŠTA U RIJECI (IZ EVIDENCIJSKIH PRIHODA)</v>
      </c>
      <c r="I182" s="198">
        <v>1000</v>
      </c>
      <c r="J182" s="198">
        <v>2000</v>
      </c>
      <c r="K182" s="198">
        <v>3000</v>
      </c>
      <c r="M182" s="144" t="str">
        <f t="shared" si="27"/>
        <v>323</v>
      </c>
      <c r="N182" s="144" t="str">
        <f t="shared" si="28"/>
        <v>32</v>
      </c>
    </row>
    <row r="183" spans="1:14">
      <c r="A183" s="148" t="str">
        <f>IF(C183="","",VLOOKUP('Opći dio'!$C$3,'Opći dio'!$L$6:$U$135,10,FALSE))</f>
        <v>08006</v>
      </c>
      <c r="B183" s="148" t="str">
        <f>IF(C183="","",VLOOKUP('Opći dio'!$C$3,'Opći dio'!$L$6:$U$135,9,FALSE))</f>
        <v>Sveučilišta i veleučilišta u Republici Hrvatskoj</v>
      </c>
      <c r="C183" s="154">
        <v>12</v>
      </c>
      <c r="D183" s="149" t="str">
        <f t="shared" si="25"/>
        <v>Sredstva učešća za pomoći</v>
      </c>
      <c r="E183" s="154">
        <v>3111</v>
      </c>
      <c r="F183" s="149" t="str">
        <f t="shared" si="24"/>
        <v>Plaće za redovan rad</v>
      </c>
      <c r="G183" s="201" t="s">
        <v>287</v>
      </c>
      <c r="H183" s="149" t="str">
        <f t="shared" si="26"/>
        <v>OP KONKURENTNOST I KOHEZIJA 2014.-2020., PRIORITET 1 i 10</v>
      </c>
      <c r="I183" s="198">
        <v>194732</v>
      </c>
      <c r="J183" s="198">
        <v>210771</v>
      </c>
      <c r="K183" s="198">
        <v>163084</v>
      </c>
      <c r="M183" s="144" t="str">
        <f t="shared" si="27"/>
        <v>311</v>
      </c>
      <c r="N183" s="144" t="str">
        <f t="shared" si="28"/>
        <v>31</v>
      </c>
    </row>
    <row r="184" spans="1:14">
      <c r="A184" s="148" t="str">
        <f>IF(C184="","",VLOOKUP('Opći dio'!$C$3,'Opći dio'!$L$6:$U$135,10,FALSE))</f>
        <v>08006</v>
      </c>
      <c r="B184" s="148" t="str">
        <f>IF(C184="","",VLOOKUP('Opći dio'!$C$3,'Opći dio'!$L$6:$U$135,9,FALSE))</f>
        <v>Sveučilišta i veleučilišta u Republici Hrvatskoj</v>
      </c>
      <c r="C184" s="154">
        <v>12</v>
      </c>
      <c r="D184" s="149" t="str">
        <f t="shared" si="25"/>
        <v>Sredstva učešća za pomoći</v>
      </c>
      <c r="E184" s="154">
        <v>3132</v>
      </c>
      <c r="F184" s="149" t="str">
        <f t="shared" si="24"/>
        <v>Doprinosi za obvezno zdravstveno osiguranje</v>
      </c>
      <c r="G184" s="201" t="s">
        <v>287</v>
      </c>
      <c r="H184" s="149" t="str">
        <f t="shared" si="26"/>
        <v>OP KONKURENTNOST I KOHEZIJA 2014.-2020., PRIORITET 1 i 10</v>
      </c>
      <c r="I184" s="198">
        <v>32131</v>
      </c>
      <c r="J184" s="198">
        <v>34777</v>
      </c>
      <c r="K184" s="198">
        <v>26909</v>
      </c>
      <c r="M184" s="144" t="str">
        <f t="shared" si="27"/>
        <v>313</v>
      </c>
      <c r="N184" s="144" t="str">
        <f t="shared" si="28"/>
        <v>31</v>
      </c>
    </row>
    <row r="185" spans="1:14">
      <c r="A185" s="148" t="str">
        <f>IF(C185="","",VLOOKUP('Opći dio'!$C$3,'Opći dio'!$L$6:$U$135,10,FALSE))</f>
        <v>08006</v>
      </c>
      <c r="B185" s="148" t="str">
        <f>IF(C185="","",VLOOKUP('Opći dio'!$C$3,'Opći dio'!$L$6:$U$135,9,FALSE))</f>
        <v>Sveučilišta i veleučilišta u Republici Hrvatskoj</v>
      </c>
      <c r="C185" s="154">
        <v>12</v>
      </c>
      <c r="D185" s="149" t="str">
        <f t="shared" si="25"/>
        <v>Sredstva učešća za pomoći</v>
      </c>
      <c r="E185" s="154">
        <v>3211</v>
      </c>
      <c r="F185" s="149" t="str">
        <f t="shared" si="24"/>
        <v>Službena putovanja</v>
      </c>
      <c r="G185" s="201" t="s">
        <v>287</v>
      </c>
      <c r="H185" s="149" t="str">
        <f t="shared" si="26"/>
        <v>OP KONKURENTNOST I KOHEZIJA 2014.-2020., PRIORITET 1 i 10</v>
      </c>
      <c r="I185" s="198">
        <v>35831</v>
      </c>
      <c r="J185" s="198">
        <v>37350</v>
      </c>
      <c r="K185" s="198">
        <v>26907</v>
      </c>
      <c r="M185" s="144" t="str">
        <f t="shared" si="27"/>
        <v>321</v>
      </c>
      <c r="N185" s="144" t="str">
        <f t="shared" si="28"/>
        <v>32</v>
      </c>
    </row>
    <row r="186" spans="1:14">
      <c r="A186" s="148" t="str">
        <f>IF(C186="","",VLOOKUP('Opći dio'!$C$3,'Opći dio'!$L$6:$U$135,10,FALSE))</f>
        <v>08006</v>
      </c>
      <c r="B186" s="148" t="str">
        <f>IF(C186="","",VLOOKUP('Opći dio'!$C$3,'Opći dio'!$L$6:$U$135,9,FALSE))</f>
        <v>Sveučilišta i veleučilišta u Republici Hrvatskoj</v>
      </c>
      <c r="C186" s="154">
        <v>12</v>
      </c>
      <c r="D186" s="149" t="str">
        <f t="shared" si="25"/>
        <v>Sredstva učešća za pomoći</v>
      </c>
      <c r="E186" s="154">
        <v>3213</v>
      </c>
      <c r="F186" s="149" t="str">
        <f t="shared" si="24"/>
        <v>Stručno usavršavanje zaposlenika</v>
      </c>
      <c r="G186" s="201" t="s">
        <v>287</v>
      </c>
      <c r="H186" s="149" t="str">
        <f t="shared" si="26"/>
        <v>OP KONKURENTNOST I KOHEZIJA 2014.-2020., PRIORITET 1 i 10</v>
      </c>
      <c r="I186" s="198">
        <v>3938</v>
      </c>
      <c r="J186" s="198">
        <v>3278</v>
      </c>
      <c r="K186" s="198">
        <v>1969</v>
      </c>
      <c r="M186" s="144" t="str">
        <f t="shared" si="27"/>
        <v>321</v>
      </c>
      <c r="N186" s="144" t="str">
        <f t="shared" si="28"/>
        <v>32</v>
      </c>
    </row>
    <row r="187" spans="1:14">
      <c r="A187" s="148" t="str">
        <f>IF(C187="","",VLOOKUP('Opći dio'!$C$3,'Opći dio'!$L$6:$U$135,10,FALSE))</f>
        <v>08006</v>
      </c>
      <c r="B187" s="148" t="str">
        <f>IF(C187="","",VLOOKUP('Opći dio'!$C$3,'Opći dio'!$L$6:$U$135,9,FALSE))</f>
        <v>Sveučilišta i veleučilišta u Republici Hrvatskoj</v>
      </c>
      <c r="C187" s="154">
        <v>12</v>
      </c>
      <c r="D187" s="149" t="str">
        <f t="shared" si="25"/>
        <v>Sredstva učešća za pomoći</v>
      </c>
      <c r="E187" s="154">
        <v>3221</v>
      </c>
      <c r="F187" s="149" t="str">
        <f t="shared" si="24"/>
        <v>Uredski materijal i ostali materijalni rashodi</v>
      </c>
      <c r="G187" s="201" t="s">
        <v>287</v>
      </c>
      <c r="H187" s="149" t="str">
        <f t="shared" si="26"/>
        <v>OP KONKURENTNOST I KOHEZIJA 2014.-2020., PRIORITET 1 i 10</v>
      </c>
      <c r="I187" s="198">
        <v>85567</v>
      </c>
      <c r="J187" s="198">
        <v>85567</v>
      </c>
      <c r="K187" s="198">
        <v>64175</v>
      </c>
      <c r="M187" s="144" t="str">
        <f t="shared" si="27"/>
        <v>322</v>
      </c>
      <c r="N187" s="144" t="str">
        <f t="shared" si="28"/>
        <v>32</v>
      </c>
    </row>
    <row r="188" spans="1:14">
      <c r="A188" s="148" t="str">
        <f>IF(C188="","",VLOOKUP('Opći dio'!$C$3,'Opći dio'!$L$6:$U$135,10,FALSE))</f>
        <v>08006</v>
      </c>
      <c r="B188" s="148" t="str">
        <f>IF(C188="","",VLOOKUP('Opći dio'!$C$3,'Opći dio'!$L$6:$U$135,9,FALSE))</f>
        <v>Sveučilišta i veleučilišta u Republici Hrvatskoj</v>
      </c>
      <c r="C188" s="154">
        <v>12</v>
      </c>
      <c r="D188" s="149" t="str">
        <f t="shared" si="25"/>
        <v>Sredstva učešća za pomoći</v>
      </c>
      <c r="E188" s="154">
        <v>3223</v>
      </c>
      <c r="F188" s="149" t="str">
        <f t="shared" si="24"/>
        <v>Energija</v>
      </c>
      <c r="G188" s="201" t="s">
        <v>287</v>
      </c>
      <c r="H188" s="149" t="str">
        <f t="shared" si="26"/>
        <v>OP KONKURENTNOST I KOHEZIJA 2014.-2020., PRIORITET 1 i 10</v>
      </c>
      <c r="I188" s="198">
        <v>4500</v>
      </c>
      <c r="J188" s="198">
        <v>0</v>
      </c>
      <c r="K188" s="198">
        <v>0</v>
      </c>
      <c r="M188" s="144" t="str">
        <f t="shared" si="27"/>
        <v>322</v>
      </c>
      <c r="N188" s="144" t="str">
        <f t="shared" si="28"/>
        <v>32</v>
      </c>
    </row>
    <row r="189" spans="1:14">
      <c r="A189" s="148" t="str">
        <f>IF(C189="","",VLOOKUP('Opći dio'!$C$3,'Opći dio'!$L$6:$U$135,10,FALSE))</f>
        <v>08006</v>
      </c>
      <c r="B189" s="148" t="str">
        <f>IF(C189="","",VLOOKUP('Opći dio'!$C$3,'Opći dio'!$L$6:$U$135,9,FALSE))</f>
        <v>Sveučilišta i veleučilišta u Republici Hrvatskoj</v>
      </c>
      <c r="C189" s="154">
        <v>12</v>
      </c>
      <c r="D189" s="149" t="str">
        <f t="shared" si="25"/>
        <v>Sredstva učešća za pomoći</v>
      </c>
      <c r="E189" s="154">
        <v>3231</v>
      </c>
      <c r="F189" s="149" t="str">
        <f t="shared" si="24"/>
        <v>Usluge telefona, pošte i prijevoza</v>
      </c>
      <c r="G189" s="201" t="s">
        <v>287</v>
      </c>
      <c r="H189" s="149" t="str">
        <f t="shared" si="26"/>
        <v>OP KONKURENTNOST I KOHEZIJA 2014.-2020., PRIORITET 1 i 10</v>
      </c>
      <c r="I189" s="198">
        <v>2880</v>
      </c>
      <c r="J189" s="198">
        <v>2880</v>
      </c>
      <c r="K189" s="198">
        <v>2160</v>
      </c>
      <c r="M189" s="144" t="str">
        <f t="shared" si="27"/>
        <v>323</v>
      </c>
      <c r="N189" s="144" t="str">
        <f t="shared" si="28"/>
        <v>32</v>
      </c>
    </row>
    <row r="190" spans="1:14">
      <c r="A190" s="148" t="str">
        <f>IF(C190="","",VLOOKUP('Opći dio'!$C$3,'Opći dio'!$L$6:$U$135,10,FALSE))</f>
        <v>08006</v>
      </c>
      <c r="B190" s="148" t="str">
        <f>IF(C190="","",VLOOKUP('Opći dio'!$C$3,'Opći dio'!$L$6:$U$135,9,FALSE))</f>
        <v>Sveučilišta i veleučilišta u Republici Hrvatskoj</v>
      </c>
      <c r="C190" s="154">
        <v>12</v>
      </c>
      <c r="D190" s="149" t="str">
        <f t="shared" si="25"/>
        <v>Sredstva učešća za pomoći</v>
      </c>
      <c r="E190" s="154">
        <v>3237</v>
      </c>
      <c r="F190" s="149" t="str">
        <f t="shared" si="24"/>
        <v>Intelektualne i osobne usluge</v>
      </c>
      <c r="G190" s="201" t="s">
        <v>287</v>
      </c>
      <c r="H190" s="149" t="str">
        <f t="shared" si="26"/>
        <v>OP KONKURENTNOST I KOHEZIJA 2014.-2020., PRIORITET 1 i 10</v>
      </c>
      <c r="I190" s="198">
        <v>3000</v>
      </c>
      <c r="J190" s="198">
        <v>6750</v>
      </c>
      <c r="K190" s="198">
        <v>16500</v>
      </c>
      <c r="M190" s="144" t="str">
        <f t="shared" si="27"/>
        <v>323</v>
      </c>
      <c r="N190" s="144" t="str">
        <f t="shared" si="28"/>
        <v>32</v>
      </c>
    </row>
    <row r="191" spans="1:14">
      <c r="A191" s="148" t="str">
        <f>IF(C191="","",VLOOKUP('Opći dio'!$C$3,'Opći dio'!$L$6:$U$135,10,FALSE))</f>
        <v>08006</v>
      </c>
      <c r="B191" s="148" t="str">
        <f>IF(C191="","",VLOOKUP('Opći dio'!$C$3,'Opći dio'!$L$6:$U$135,9,FALSE))</f>
        <v>Sveučilišta i veleučilišta u Republici Hrvatskoj</v>
      </c>
      <c r="C191" s="154">
        <v>12</v>
      </c>
      <c r="D191" s="149" t="str">
        <f t="shared" si="25"/>
        <v>Sredstva učešća za pomoći</v>
      </c>
      <c r="E191" s="154">
        <v>3239</v>
      </c>
      <c r="F191" s="149" t="str">
        <f t="shared" si="24"/>
        <v>Ostale usluge</v>
      </c>
      <c r="G191" s="201" t="s">
        <v>287</v>
      </c>
      <c r="H191" s="149" t="str">
        <f t="shared" si="26"/>
        <v>OP KONKURENTNOST I KOHEZIJA 2014.-2020., PRIORITET 1 i 10</v>
      </c>
      <c r="I191" s="198">
        <v>37500</v>
      </c>
      <c r="J191" s="198">
        <v>45670</v>
      </c>
      <c r="K191" s="198">
        <v>45670</v>
      </c>
      <c r="M191" s="144" t="str">
        <f t="shared" si="27"/>
        <v>323</v>
      </c>
      <c r="N191" s="144" t="str">
        <f t="shared" si="28"/>
        <v>32</v>
      </c>
    </row>
    <row r="192" spans="1:14">
      <c r="A192" s="148" t="str">
        <f>IF(C192="","",VLOOKUP('Opći dio'!$C$3,'Opći dio'!$L$6:$U$135,10,FALSE))</f>
        <v>08006</v>
      </c>
      <c r="B192" s="148" t="str">
        <f>IF(C192="","",VLOOKUP('Opći dio'!$C$3,'Opći dio'!$L$6:$U$135,9,FALSE))</f>
        <v>Sveučilišta i veleučilišta u Republici Hrvatskoj</v>
      </c>
      <c r="C192" s="154">
        <v>12</v>
      </c>
      <c r="D192" s="149" t="str">
        <f t="shared" si="25"/>
        <v>Sredstva učešća za pomoći</v>
      </c>
      <c r="E192" s="154">
        <v>3693</v>
      </c>
      <c r="F192" s="149" t="str">
        <f t="shared" si="24"/>
        <v>Tekući prijenosi između proračunskih korisnika istog proraču</v>
      </c>
      <c r="G192" s="201" t="s">
        <v>287</v>
      </c>
      <c r="H192" s="149" t="str">
        <f t="shared" si="26"/>
        <v>OP KONKURENTNOST I KOHEZIJA 2014.-2020., PRIORITET 1 i 10</v>
      </c>
      <c r="I192" s="198">
        <v>405277</v>
      </c>
      <c r="J192" s="198">
        <v>405277</v>
      </c>
      <c r="K192" s="198">
        <v>405277</v>
      </c>
      <c r="M192" s="144" t="str">
        <f t="shared" si="27"/>
        <v>369</v>
      </c>
      <c r="N192" s="144" t="str">
        <f t="shared" si="28"/>
        <v>36</v>
      </c>
    </row>
    <row r="193" spans="1:14">
      <c r="A193" s="148" t="str">
        <f>IF(C193="","",VLOOKUP('Opći dio'!$C$3,'Opći dio'!$L$6:$U$135,10,FALSE))</f>
        <v>08006</v>
      </c>
      <c r="B193" s="148" t="str">
        <f>IF(C193="","",VLOOKUP('Opći dio'!$C$3,'Opći dio'!$L$6:$U$135,9,FALSE))</f>
        <v>Sveučilišta i veleučilišta u Republici Hrvatskoj</v>
      </c>
      <c r="C193" s="154">
        <v>12</v>
      </c>
      <c r="D193" s="149" t="str">
        <f t="shared" si="25"/>
        <v>Sredstva učešća za pomoći</v>
      </c>
      <c r="E193" s="154">
        <v>4224</v>
      </c>
      <c r="F193" s="149" t="str">
        <f t="shared" si="24"/>
        <v>Medicinska i laboratorijska oprema</v>
      </c>
      <c r="G193" s="201" t="s">
        <v>287</v>
      </c>
      <c r="H193" s="149" t="str">
        <f t="shared" si="26"/>
        <v>OP KONKURENTNOST I KOHEZIJA 2014.-2020., PRIORITET 1 i 10</v>
      </c>
      <c r="I193" s="198">
        <v>991839</v>
      </c>
      <c r="J193" s="198">
        <v>0</v>
      </c>
      <c r="K193" s="198">
        <v>0</v>
      </c>
      <c r="M193" s="144" t="str">
        <f t="shared" si="27"/>
        <v>422</v>
      </c>
      <c r="N193" s="144" t="str">
        <f t="shared" si="28"/>
        <v>42</v>
      </c>
    </row>
    <row r="194" spans="1:14">
      <c r="A194" s="148" t="str">
        <f>IF(C194="","",VLOOKUP('Opći dio'!$C$3,'Opći dio'!$L$6:$U$135,10,FALSE))</f>
        <v>08006</v>
      </c>
      <c r="B194" s="148" t="str">
        <f>IF(C194="","",VLOOKUP('Opći dio'!$C$3,'Opći dio'!$L$6:$U$135,9,FALSE))</f>
        <v>Sveučilišta i veleučilišta u Republici Hrvatskoj</v>
      </c>
      <c r="C194" s="154">
        <v>563</v>
      </c>
      <c r="D194" s="149" t="str">
        <f t="shared" si="25"/>
        <v>Europski fond za regionalni razvoj (ERDF)</v>
      </c>
      <c r="E194" s="154">
        <v>3111</v>
      </c>
      <c r="F194" s="149" t="str">
        <f t="shared" si="24"/>
        <v>Plaće za redovan rad</v>
      </c>
      <c r="G194" s="201" t="s">
        <v>287</v>
      </c>
      <c r="H194" s="149" t="str">
        <f t="shared" si="26"/>
        <v>OP KONKURENTNOST I KOHEZIJA 2014.-2020., PRIORITET 1 i 10</v>
      </c>
      <c r="I194" s="198">
        <v>1103480</v>
      </c>
      <c r="J194" s="198">
        <v>1194367</v>
      </c>
      <c r="K194" s="198">
        <v>924142</v>
      </c>
      <c r="M194" s="144" t="str">
        <f t="shared" si="27"/>
        <v>311</v>
      </c>
      <c r="N194" s="144" t="str">
        <f t="shared" si="28"/>
        <v>31</v>
      </c>
    </row>
    <row r="195" spans="1:14">
      <c r="A195" s="148" t="str">
        <f>IF(C195="","",VLOOKUP('Opći dio'!$C$3,'Opći dio'!$L$6:$U$135,10,FALSE))</f>
        <v>08006</v>
      </c>
      <c r="B195" s="148" t="str">
        <f>IF(C195="","",VLOOKUP('Opći dio'!$C$3,'Opći dio'!$L$6:$U$135,9,FALSE))</f>
        <v>Sveučilišta i veleučilišta u Republici Hrvatskoj</v>
      </c>
      <c r="C195" s="154">
        <v>563</v>
      </c>
      <c r="D195" s="149" t="str">
        <f t="shared" si="25"/>
        <v>Europski fond za regionalni razvoj (ERDF)</v>
      </c>
      <c r="E195" s="154">
        <v>3132</v>
      </c>
      <c r="F195" s="149" t="str">
        <f t="shared" ref="F195:F258" si="29">IFERROR(VLOOKUP(E195,$R$5:$T$129,2,FALSE),"")</f>
        <v>Doprinosi za obvezno zdravstveno osiguranje</v>
      </c>
      <c r="G195" s="201" t="s">
        <v>287</v>
      </c>
      <c r="H195" s="149" t="str">
        <f t="shared" si="26"/>
        <v>OP KONKURENTNOST I KOHEZIJA 2014.-2020., PRIORITET 1 i 10</v>
      </c>
      <c r="I195" s="198">
        <v>182074</v>
      </c>
      <c r="J195" s="198">
        <v>197071</v>
      </c>
      <c r="K195" s="198">
        <v>152484</v>
      </c>
      <c r="M195" s="144" t="str">
        <f t="shared" si="27"/>
        <v>313</v>
      </c>
      <c r="N195" s="144" t="str">
        <f t="shared" si="28"/>
        <v>31</v>
      </c>
    </row>
    <row r="196" spans="1:14">
      <c r="A196" s="148" t="str">
        <f>IF(C196="","",VLOOKUP('Opći dio'!$C$3,'Opći dio'!$L$6:$U$135,10,FALSE))</f>
        <v>08006</v>
      </c>
      <c r="B196" s="148" t="str">
        <f>IF(C196="","",VLOOKUP('Opći dio'!$C$3,'Opći dio'!$L$6:$U$135,9,FALSE))</f>
        <v>Sveučilišta i veleučilišta u Republici Hrvatskoj</v>
      </c>
      <c r="C196" s="154">
        <v>563</v>
      </c>
      <c r="D196" s="149" t="str">
        <f t="shared" ref="D196:D259" si="30">IFERROR(VLOOKUP(C196,$O$6:$P$16,2,FALSE),"")</f>
        <v>Europski fond za regionalni razvoj (ERDF)</v>
      </c>
      <c r="E196" s="154">
        <v>3211</v>
      </c>
      <c r="F196" s="149" t="str">
        <f t="shared" si="29"/>
        <v>Službena putovanja</v>
      </c>
      <c r="G196" s="201" t="s">
        <v>287</v>
      </c>
      <c r="H196" s="149" t="str">
        <f t="shared" ref="H196:H259" si="31">IFERROR(VLOOKUP(G196,$X$6:$Y$50,2,FALSE),"")</f>
        <v>OP KONKURENTNOST I KOHEZIJA 2014.-2020., PRIORITET 1 i 10</v>
      </c>
      <c r="I196" s="198">
        <v>203044</v>
      </c>
      <c r="J196" s="198">
        <v>211650</v>
      </c>
      <c r="K196" s="198">
        <v>152473</v>
      </c>
      <c r="M196" s="144" t="str">
        <f t="shared" ref="M196:M259" si="32">LEFT(E196,3)</f>
        <v>321</v>
      </c>
      <c r="N196" s="144" t="str">
        <f t="shared" ref="N196:N259" si="33">LEFT(E196,2)</f>
        <v>32</v>
      </c>
    </row>
    <row r="197" spans="1:14">
      <c r="A197" s="148" t="str">
        <f>IF(C197="","",VLOOKUP('Opći dio'!$C$3,'Opći dio'!$L$6:$U$135,10,FALSE))</f>
        <v>08006</v>
      </c>
      <c r="B197" s="148" t="str">
        <f>IF(C197="","",VLOOKUP('Opći dio'!$C$3,'Opći dio'!$L$6:$U$135,9,FALSE))</f>
        <v>Sveučilišta i veleučilišta u Republici Hrvatskoj</v>
      </c>
      <c r="C197" s="154">
        <v>563</v>
      </c>
      <c r="D197" s="149" t="str">
        <f t="shared" si="30"/>
        <v>Europski fond za regionalni razvoj (ERDF)</v>
      </c>
      <c r="E197" s="154">
        <v>3213</v>
      </c>
      <c r="F197" s="149" t="str">
        <f t="shared" si="29"/>
        <v>Stručno usavršavanje zaposlenika</v>
      </c>
      <c r="G197" s="201" t="s">
        <v>287</v>
      </c>
      <c r="H197" s="149" t="str">
        <f t="shared" si="31"/>
        <v>OP KONKURENTNOST I KOHEZIJA 2014.-2020., PRIORITET 1 i 10</v>
      </c>
      <c r="I197" s="198">
        <v>22313</v>
      </c>
      <c r="J197" s="198">
        <v>18573</v>
      </c>
      <c r="K197" s="198">
        <v>11156</v>
      </c>
      <c r="M197" s="144" t="str">
        <f t="shared" si="32"/>
        <v>321</v>
      </c>
      <c r="N197" s="144" t="str">
        <f t="shared" si="33"/>
        <v>32</v>
      </c>
    </row>
    <row r="198" spans="1:14">
      <c r="A198" s="148" t="str">
        <f>IF(C198="","",VLOOKUP('Opći dio'!$C$3,'Opći dio'!$L$6:$U$135,10,FALSE))</f>
        <v>08006</v>
      </c>
      <c r="B198" s="148" t="str">
        <f>IF(C198="","",VLOOKUP('Opći dio'!$C$3,'Opći dio'!$L$6:$U$135,9,FALSE))</f>
        <v>Sveučilišta i veleučilišta u Republici Hrvatskoj</v>
      </c>
      <c r="C198" s="154">
        <v>563</v>
      </c>
      <c r="D198" s="149" t="str">
        <f t="shared" si="30"/>
        <v>Europski fond za regionalni razvoj (ERDF)</v>
      </c>
      <c r="E198" s="154">
        <v>3221</v>
      </c>
      <c r="F198" s="149" t="str">
        <f t="shared" si="29"/>
        <v>Uredski materijal i ostali materijalni rashodi</v>
      </c>
      <c r="G198" s="201" t="s">
        <v>287</v>
      </c>
      <c r="H198" s="149" t="str">
        <f t="shared" si="31"/>
        <v>OP KONKURENTNOST I KOHEZIJA 2014.-2020., PRIORITET 1 i 10</v>
      </c>
      <c r="I198" s="198">
        <v>484879</v>
      </c>
      <c r="J198" s="198">
        <v>484879</v>
      </c>
      <c r="K198" s="198">
        <v>363659</v>
      </c>
      <c r="M198" s="144" t="str">
        <f t="shared" si="32"/>
        <v>322</v>
      </c>
      <c r="N198" s="144" t="str">
        <f t="shared" si="33"/>
        <v>32</v>
      </c>
    </row>
    <row r="199" spans="1:14">
      <c r="A199" s="148" t="str">
        <f>IF(C199="","",VLOOKUP('Opći dio'!$C$3,'Opći dio'!$L$6:$U$135,10,FALSE))</f>
        <v>08006</v>
      </c>
      <c r="B199" s="148" t="str">
        <f>IF(C199="","",VLOOKUP('Opći dio'!$C$3,'Opći dio'!$L$6:$U$135,9,FALSE))</f>
        <v>Sveučilišta i veleučilišta u Republici Hrvatskoj</v>
      </c>
      <c r="C199" s="154">
        <v>563</v>
      </c>
      <c r="D199" s="149" t="str">
        <f t="shared" si="30"/>
        <v>Europski fond za regionalni razvoj (ERDF)</v>
      </c>
      <c r="E199" s="154">
        <v>3223</v>
      </c>
      <c r="F199" s="149" t="str">
        <f t="shared" si="29"/>
        <v>Energija</v>
      </c>
      <c r="G199" s="201" t="s">
        <v>287</v>
      </c>
      <c r="H199" s="149" t="str">
        <f t="shared" si="31"/>
        <v>OP KONKURENTNOST I KOHEZIJA 2014.-2020., PRIORITET 1 i 10</v>
      </c>
      <c r="I199" s="198">
        <v>25500</v>
      </c>
      <c r="J199" s="198">
        <v>0</v>
      </c>
      <c r="K199" s="198">
        <v>0</v>
      </c>
      <c r="M199" s="144" t="str">
        <f t="shared" si="32"/>
        <v>322</v>
      </c>
      <c r="N199" s="144" t="str">
        <f t="shared" si="33"/>
        <v>32</v>
      </c>
    </row>
    <row r="200" spans="1:14">
      <c r="A200" s="148" t="str">
        <f>IF(C200="","",VLOOKUP('Opći dio'!$C$3,'Opći dio'!$L$6:$U$135,10,FALSE))</f>
        <v>08006</v>
      </c>
      <c r="B200" s="148" t="str">
        <f>IF(C200="","",VLOOKUP('Opći dio'!$C$3,'Opći dio'!$L$6:$U$135,9,FALSE))</f>
        <v>Sveučilišta i veleučilišta u Republici Hrvatskoj</v>
      </c>
      <c r="C200" s="154">
        <v>563</v>
      </c>
      <c r="D200" s="149" t="str">
        <f t="shared" si="30"/>
        <v>Europski fond za regionalni razvoj (ERDF)</v>
      </c>
      <c r="E200" s="154">
        <v>3231</v>
      </c>
      <c r="F200" s="149" t="str">
        <f t="shared" si="29"/>
        <v>Usluge telefona, pošte i prijevoza</v>
      </c>
      <c r="G200" s="201" t="s">
        <v>287</v>
      </c>
      <c r="H200" s="149" t="str">
        <f t="shared" si="31"/>
        <v>OP KONKURENTNOST I KOHEZIJA 2014.-2020., PRIORITET 1 i 10</v>
      </c>
      <c r="I200" s="198">
        <v>16320</v>
      </c>
      <c r="J200" s="198">
        <v>16320</v>
      </c>
      <c r="K200" s="198">
        <v>12240</v>
      </c>
      <c r="M200" s="144" t="str">
        <f t="shared" si="32"/>
        <v>323</v>
      </c>
      <c r="N200" s="144" t="str">
        <f t="shared" si="33"/>
        <v>32</v>
      </c>
    </row>
    <row r="201" spans="1:14">
      <c r="A201" s="148" t="str">
        <f>IF(C201="","",VLOOKUP('Opći dio'!$C$3,'Opći dio'!$L$6:$U$135,10,FALSE))</f>
        <v>08006</v>
      </c>
      <c r="B201" s="148" t="str">
        <f>IF(C201="","",VLOOKUP('Opći dio'!$C$3,'Opći dio'!$L$6:$U$135,9,FALSE))</f>
        <v>Sveučilišta i veleučilišta u Republici Hrvatskoj</v>
      </c>
      <c r="C201" s="154">
        <v>563</v>
      </c>
      <c r="D201" s="149" t="str">
        <f t="shared" si="30"/>
        <v>Europski fond za regionalni razvoj (ERDF)</v>
      </c>
      <c r="E201" s="154">
        <v>3237</v>
      </c>
      <c r="F201" s="149" t="str">
        <f t="shared" si="29"/>
        <v>Intelektualne i osobne usluge</v>
      </c>
      <c r="G201" s="201" t="s">
        <v>287</v>
      </c>
      <c r="H201" s="149" t="str">
        <f t="shared" si="31"/>
        <v>OP KONKURENTNOST I KOHEZIJA 2014.-2020., PRIORITET 1 i 10</v>
      </c>
      <c r="I201" s="198">
        <v>17000</v>
      </c>
      <c r="J201" s="198">
        <v>38250</v>
      </c>
      <c r="K201" s="198">
        <v>93500</v>
      </c>
      <c r="M201" s="144" t="str">
        <f t="shared" si="32"/>
        <v>323</v>
      </c>
      <c r="N201" s="144" t="str">
        <f t="shared" si="33"/>
        <v>32</v>
      </c>
    </row>
    <row r="202" spans="1:14">
      <c r="A202" s="148" t="str">
        <f>IF(C202="","",VLOOKUP('Opći dio'!$C$3,'Opći dio'!$L$6:$U$135,10,FALSE))</f>
        <v>08006</v>
      </c>
      <c r="B202" s="148" t="str">
        <f>IF(C202="","",VLOOKUP('Opći dio'!$C$3,'Opći dio'!$L$6:$U$135,9,FALSE))</f>
        <v>Sveučilišta i veleučilišta u Republici Hrvatskoj</v>
      </c>
      <c r="C202" s="154">
        <v>563</v>
      </c>
      <c r="D202" s="149" t="str">
        <f t="shared" si="30"/>
        <v>Europski fond za regionalni razvoj (ERDF)</v>
      </c>
      <c r="E202" s="154">
        <v>3239</v>
      </c>
      <c r="F202" s="149" t="str">
        <f t="shared" si="29"/>
        <v>Ostale usluge</v>
      </c>
      <c r="G202" s="201" t="s">
        <v>287</v>
      </c>
      <c r="H202" s="149" t="str">
        <f t="shared" si="31"/>
        <v>OP KONKURENTNOST I KOHEZIJA 2014.-2020., PRIORITET 1 i 10</v>
      </c>
      <c r="I202" s="198">
        <v>212500</v>
      </c>
      <c r="J202" s="198">
        <v>258795</v>
      </c>
      <c r="K202" s="198">
        <v>258795</v>
      </c>
      <c r="M202" s="144" t="str">
        <f t="shared" si="32"/>
        <v>323</v>
      </c>
      <c r="N202" s="144" t="str">
        <f t="shared" si="33"/>
        <v>32</v>
      </c>
    </row>
    <row r="203" spans="1:14">
      <c r="A203" s="148" t="str">
        <f>IF(C203="","",VLOOKUP('Opći dio'!$C$3,'Opći dio'!$L$6:$U$135,10,FALSE))</f>
        <v>08006</v>
      </c>
      <c r="B203" s="148" t="str">
        <f>IF(C203="","",VLOOKUP('Opći dio'!$C$3,'Opći dio'!$L$6:$U$135,9,FALSE))</f>
        <v>Sveučilišta i veleučilišta u Republici Hrvatskoj</v>
      </c>
      <c r="C203" s="154">
        <v>563</v>
      </c>
      <c r="D203" s="149" t="str">
        <f t="shared" si="30"/>
        <v>Europski fond za regionalni razvoj (ERDF)</v>
      </c>
      <c r="E203" s="154">
        <v>3693</v>
      </c>
      <c r="F203" s="149" t="str">
        <f t="shared" si="29"/>
        <v>Tekući prijenosi između proračunskih korisnika istog proraču</v>
      </c>
      <c r="G203" s="201" t="s">
        <v>287</v>
      </c>
      <c r="H203" s="149" t="str">
        <f t="shared" si="31"/>
        <v>OP KONKURENTNOST I KOHEZIJA 2014.-2020., PRIORITET 1 i 10</v>
      </c>
      <c r="I203" s="198">
        <v>2296567</v>
      </c>
      <c r="J203" s="198">
        <v>2296567</v>
      </c>
      <c r="K203" s="198">
        <v>2296567</v>
      </c>
      <c r="M203" s="144" t="str">
        <f t="shared" si="32"/>
        <v>369</v>
      </c>
      <c r="N203" s="144" t="str">
        <f t="shared" si="33"/>
        <v>36</v>
      </c>
    </row>
    <row r="204" spans="1:14">
      <c r="A204" s="148" t="str">
        <f>IF(C204="","",VLOOKUP('Opći dio'!$C$3,'Opći dio'!$L$6:$U$135,10,FALSE))</f>
        <v>08006</v>
      </c>
      <c r="B204" s="148" t="str">
        <f>IF(C204="","",VLOOKUP('Opći dio'!$C$3,'Opći dio'!$L$6:$U$135,9,FALSE))</f>
        <v>Sveučilišta i veleučilišta u Republici Hrvatskoj</v>
      </c>
      <c r="C204" s="154">
        <v>563</v>
      </c>
      <c r="D204" s="149" t="str">
        <f t="shared" si="30"/>
        <v>Europski fond za regionalni razvoj (ERDF)</v>
      </c>
      <c r="E204" s="154">
        <v>4224</v>
      </c>
      <c r="F204" s="149" t="str">
        <f t="shared" si="29"/>
        <v>Medicinska i laboratorijska oprema</v>
      </c>
      <c r="G204" s="201" t="s">
        <v>287</v>
      </c>
      <c r="H204" s="149" t="str">
        <f t="shared" si="31"/>
        <v>OP KONKURENTNOST I KOHEZIJA 2014.-2020., PRIORITET 1 i 10</v>
      </c>
      <c r="I204" s="198">
        <v>5620419</v>
      </c>
      <c r="J204" s="198">
        <v>0</v>
      </c>
      <c r="K204" s="198">
        <v>0</v>
      </c>
      <c r="M204" s="144" t="str">
        <f t="shared" si="32"/>
        <v>422</v>
      </c>
      <c r="N204" s="144" t="str">
        <f t="shared" si="33"/>
        <v>42</v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599" yWindow="494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tabSelected="1" zoomScale="80" zoomScaleNormal="80" workbookViewId="0">
      <pane ySplit="2" topLeftCell="A87" activePane="bottomLeft" state="frozen"/>
      <selection pane="bottomLeft" activeCell="E79" sqref="E79"/>
    </sheetView>
  </sheetViews>
  <sheetFormatPr defaultColWidth="11.44140625" defaultRowHeight="13.8"/>
  <cols>
    <col min="1" max="1" width="4.88671875" style="1" customWidth="1"/>
    <col min="2" max="2" width="59" style="1" customWidth="1"/>
    <col min="3" max="3" width="14.88671875" style="1" customWidth="1"/>
    <col min="4" max="6" width="13.88671875" style="1" customWidth="1"/>
    <col min="7" max="7" width="13.88671875" style="66" customWidth="1"/>
    <col min="8" max="16" width="13.88671875" style="1" customWidth="1"/>
    <col min="17" max="17" width="7.88671875" style="1" customWidth="1"/>
    <col min="18" max="16384" width="11.44140625" style="1"/>
  </cols>
  <sheetData>
    <row r="1" spans="1:22" ht="15.6" customHeight="1">
      <c r="A1" s="263" t="s">
        <v>290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4" t="s">
        <v>292</v>
      </c>
      <c r="B3" s="265"/>
      <c r="C3" s="266" t="s">
        <v>51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</row>
    <row r="4" spans="1:22" s="91" customFormat="1" ht="96.6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10840000</v>
      </c>
      <c r="D5" s="3"/>
      <c r="E5" s="3">
        <v>1350000</v>
      </c>
      <c r="F5" s="3"/>
      <c r="G5" s="3">
        <v>900000</v>
      </c>
      <c r="H5" s="3">
        <v>600000</v>
      </c>
      <c r="I5" s="3">
        <v>50000</v>
      </c>
      <c r="J5" s="3"/>
      <c r="K5" s="3"/>
      <c r="L5" s="3">
        <v>7650000</v>
      </c>
      <c r="M5" s="3"/>
      <c r="N5" s="3"/>
      <c r="O5" s="3">
        <v>290000</v>
      </c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116150546</v>
      </c>
      <c r="D6" s="15">
        <f t="shared" ref="D6:P6" si="1">+D26+D33</f>
        <v>80455900</v>
      </c>
      <c r="E6" s="15">
        <f t="shared" si="1"/>
        <v>898598</v>
      </c>
      <c r="F6" s="15">
        <f t="shared" si="1"/>
        <v>7741000</v>
      </c>
      <c r="G6" s="15">
        <f t="shared" si="1"/>
        <v>16800000</v>
      </c>
      <c r="H6" s="15">
        <f t="shared" si="1"/>
        <v>3000000</v>
      </c>
      <c r="I6" s="15">
        <f t="shared" si="1"/>
        <v>1177000</v>
      </c>
      <c r="J6" s="15">
        <f t="shared" si="1"/>
        <v>0</v>
      </c>
      <c r="K6" s="15">
        <f t="shared" si="1"/>
        <v>0</v>
      </c>
      <c r="L6" s="15">
        <f t="shared" si="1"/>
        <v>5092048</v>
      </c>
      <c r="M6" s="15">
        <f t="shared" si="1"/>
        <v>963000</v>
      </c>
      <c r="N6" s="15">
        <f t="shared" si="1"/>
        <v>0</v>
      </c>
      <c r="O6" s="15">
        <f t="shared" si="1"/>
        <v>23000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-7991855</v>
      </c>
      <c r="D7" s="115">
        <v>0</v>
      </c>
      <c r="E7" s="115">
        <v>-451403</v>
      </c>
      <c r="F7" s="115"/>
      <c r="G7" s="115">
        <v>-4109000</v>
      </c>
      <c r="H7" s="115">
        <v>-135500</v>
      </c>
      <c r="I7" s="115">
        <v>-425000</v>
      </c>
      <c r="J7" s="3"/>
      <c r="K7" s="115"/>
      <c r="L7" s="115">
        <v>-2557952</v>
      </c>
      <c r="M7" s="115"/>
      <c r="N7" s="115"/>
      <c r="O7" s="115">
        <v>-313000</v>
      </c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118998691</v>
      </c>
      <c r="D8" s="15">
        <f>+D5+D6+D7</f>
        <v>80455900</v>
      </c>
      <c r="E8" s="15">
        <f t="shared" ref="E8:P8" si="2">+E5+E6+E7</f>
        <v>1797195</v>
      </c>
      <c r="F8" s="15">
        <f t="shared" si="2"/>
        <v>7741000</v>
      </c>
      <c r="G8" s="15">
        <f t="shared" si="2"/>
        <v>13591000</v>
      </c>
      <c r="H8" s="15">
        <f t="shared" si="2"/>
        <v>3464500</v>
      </c>
      <c r="I8" s="15">
        <f t="shared" si="2"/>
        <v>802000</v>
      </c>
      <c r="J8" s="15">
        <f t="shared" si="2"/>
        <v>0</v>
      </c>
      <c r="K8" s="15">
        <f t="shared" si="2"/>
        <v>0</v>
      </c>
      <c r="L8" s="15">
        <f t="shared" si="2"/>
        <v>10184096</v>
      </c>
      <c r="M8" s="15">
        <f t="shared" si="2"/>
        <v>963000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118998691</v>
      </c>
      <c r="D9" s="138">
        <f>+'PLAN RASHODA I IZDATAKA'!D3</f>
        <v>80455900</v>
      </c>
      <c r="E9" s="138">
        <f>+'PLAN RASHODA I IZDATAKA'!E3</f>
        <v>1797195</v>
      </c>
      <c r="F9" s="138">
        <f>+'PLAN RASHODA I IZDATAKA'!F3</f>
        <v>7741000</v>
      </c>
      <c r="G9" s="138">
        <f>+'PLAN RASHODA I IZDATAKA'!G3</f>
        <v>13591000</v>
      </c>
      <c r="H9" s="138">
        <f>+'PLAN RASHODA I IZDATAKA'!H3</f>
        <v>3464500</v>
      </c>
      <c r="I9" s="138">
        <f>+'PLAN RASHODA I IZDATAKA'!I3</f>
        <v>802000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10184096</v>
      </c>
      <c r="M9" s="138">
        <f>+'PLAN RASHODA I IZDATAKA'!M3</f>
        <v>963000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4.4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8480048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3000000</v>
      </c>
      <c r="I12" s="204">
        <f>SUMIFS('Plan prihoda za unos u SAP'!$G$3:$G$501,'Plan prihoda za unos u SAP'!$C$3:$C$501,"=52",'Plan prihoda za unos u SAP'!$K$3:$K$501,"=632")</f>
        <v>388000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5092048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58000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58000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731000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731000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16800000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16800000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7741000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7741000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963000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963000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7.6">
      <c r="A23" s="96" t="s">
        <v>323</v>
      </c>
      <c r="B23" s="97" t="s">
        <v>283</v>
      </c>
      <c r="C23" s="71">
        <f t="shared" si="5"/>
        <v>81354498</v>
      </c>
      <c r="D23" s="204">
        <f>SUMIFS('Plan prihoda za unos u SAP'!$G$3:$G$501,'Plan prihoda za unos u SAP'!$C$3:$C$501,"=11",'Plan prihoda za unos u SAP'!$K$3:$K$501,"=671")</f>
        <v>80455900</v>
      </c>
      <c r="E23" s="204">
        <f>SUMIFS('Plan prihoda za unos u SAP'!$G$3:$G$501,'Plan prihoda za unos u SAP'!$C$3:$C$501,"=12",'Plan prihoda za unos u SAP'!$K$3:$K$501,"=671")</f>
        <v>898598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116127546</v>
      </c>
      <c r="D26" s="4">
        <f t="shared" ref="D26:P26" si="6">SUM(D11:D25)</f>
        <v>80455900</v>
      </c>
      <c r="E26" s="4">
        <f t="shared" si="6"/>
        <v>898598</v>
      </c>
      <c r="F26" s="4">
        <f t="shared" si="6"/>
        <v>7741000</v>
      </c>
      <c r="G26" s="4">
        <f t="shared" si="6"/>
        <v>16800000</v>
      </c>
      <c r="H26" s="4">
        <f t="shared" si="6"/>
        <v>3000000</v>
      </c>
      <c r="I26" s="4">
        <f t="shared" si="6"/>
        <v>1177000</v>
      </c>
      <c r="J26" s="4">
        <f t="shared" si="6"/>
        <v>0</v>
      </c>
      <c r="K26" s="4">
        <f t="shared" si="6"/>
        <v>0</v>
      </c>
      <c r="L26" s="4">
        <f t="shared" si="6"/>
        <v>5092048</v>
      </c>
      <c r="M26" s="4">
        <f t="shared" si="6"/>
        <v>963000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23000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23000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23000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23000</v>
      </c>
      <c r="P33" s="4">
        <f t="shared" si="7"/>
        <v>0</v>
      </c>
    </row>
    <row r="34" spans="1:22" s="91" customFormat="1" ht="27.6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7.6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9" t="s">
        <v>339</v>
      </c>
      <c r="B37" s="269"/>
      <c r="C37" s="72">
        <f>SUM(D37:P37)</f>
        <v>116150546</v>
      </c>
      <c r="D37" s="72">
        <f t="shared" ref="D37:P37" si="9">+D36+D33+D26</f>
        <v>80455900</v>
      </c>
      <c r="E37" s="72">
        <f t="shared" si="9"/>
        <v>898598</v>
      </c>
      <c r="F37" s="72">
        <f t="shared" si="9"/>
        <v>7741000</v>
      </c>
      <c r="G37" s="72">
        <f t="shared" si="9"/>
        <v>16800000</v>
      </c>
      <c r="H37" s="72">
        <f t="shared" si="9"/>
        <v>3000000</v>
      </c>
      <c r="I37" s="72">
        <f t="shared" si="9"/>
        <v>1177000</v>
      </c>
      <c r="J37" s="72">
        <f t="shared" si="9"/>
        <v>0</v>
      </c>
      <c r="K37" s="72">
        <f t="shared" si="9"/>
        <v>0</v>
      </c>
      <c r="L37" s="72">
        <f t="shared" si="9"/>
        <v>5092048</v>
      </c>
      <c r="M37" s="72">
        <f t="shared" si="9"/>
        <v>963000</v>
      </c>
      <c r="N37" s="72">
        <f t="shared" si="9"/>
        <v>0</v>
      </c>
      <c r="O37" s="72">
        <f t="shared" si="9"/>
        <v>23000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6">
      <c r="A39" s="264" t="s">
        <v>292</v>
      </c>
      <c r="B39" s="265"/>
      <c r="C39" s="266" t="s">
        <v>54</v>
      </c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22" s="91" customFormat="1" ht="96.6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7991855</v>
      </c>
      <c r="D41" s="203">
        <f t="shared" ref="D41:P41" si="11">-D7</f>
        <v>0</v>
      </c>
      <c r="E41" s="203">
        <f t="shared" si="11"/>
        <v>451403</v>
      </c>
      <c r="F41" s="203">
        <f t="shared" si="11"/>
        <v>0</v>
      </c>
      <c r="G41" s="203">
        <f t="shared" si="11"/>
        <v>4109000</v>
      </c>
      <c r="H41" s="203">
        <f t="shared" si="11"/>
        <v>135500</v>
      </c>
      <c r="I41" s="203">
        <f t="shared" si="11"/>
        <v>425000</v>
      </c>
      <c r="J41" s="203">
        <f t="shared" si="11"/>
        <v>0</v>
      </c>
      <c r="K41" s="203">
        <f t="shared" si="11"/>
        <v>0</v>
      </c>
      <c r="L41" s="203">
        <f t="shared" si="11"/>
        <v>2557952</v>
      </c>
      <c r="M41" s="203">
        <f t="shared" si="11"/>
        <v>0</v>
      </c>
      <c r="N41" s="203">
        <f t="shared" si="11"/>
        <v>0</v>
      </c>
      <c r="O41" s="203">
        <f t="shared" si="11"/>
        <v>313000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118976195</v>
      </c>
      <c r="D42" s="15">
        <f t="shared" ref="D42:P42" si="12">+D62+D69</f>
        <v>82240000</v>
      </c>
      <c r="E42" s="15">
        <f t="shared" si="12"/>
        <v>554880</v>
      </c>
      <c r="F42" s="15">
        <f t="shared" si="12"/>
        <v>8501000</v>
      </c>
      <c r="G42" s="15">
        <f t="shared" si="12"/>
        <v>20400000</v>
      </c>
      <c r="H42" s="15">
        <f t="shared" si="12"/>
        <v>2000000</v>
      </c>
      <c r="I42" s="15">
        <f t="shared" si="12"/>
        <v>1112000</v>
      </c>
      <c r="J42" s="15">
        <f t="shared" si="12"/>
        <v>0</v>
      </c>
      <c r="K42" s="15">
        <f t="shared" si="12"/>
        <v>0</v>
      </c>
      <c r="L42" s="15">
        <f t="shared" si="12"/>
        <v>3144315</v>
      </c>
      <c r="M42" s="15">
        <f t="shared" si="12"/>
        <v>999000</v>
      </c>
      <c r="N42" s="15">
        <f t="shared" si="12"/>
        <v>0</v>
      </c>
      <c r="O42" s="15">
        <f t="shared" si="12"/>
        <v>25000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-13639258</v>
      </c>
      <c r="D43" s="115"/>
      <c r="E43" s="115">
        <v>-173963</v>
      </c>
      <c r="F43" s="115"/>
      <c r="G43" s="115">
        <v>-10972000</v>
      </c>
      <c r="H43" s="115">
        <v>-369500</v>
      </c>
      <c r="I43" s="115">
        <v>-800000</v>
      </c>
      <c r="J43" s="3"/>
      <c r="K43" s="115"/>
      <c r="L43" s="115">
        <v>-985795</v>
      </c>
      <c r="M43" s="115"/>
      <c r="N43" s="115"/>
      <c r="O43" s="115">
        <v>-338000</v>
      </c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113328792</v>
      </c>
      <c r="D44" s="15">
        <f>+D41+D42+D43</f>
        <v>82240000</v>
      </c>
      <c r="E44" s="15">
        <f t="shared" ref="E44:P44" si="13">+E41+E42+E43</f>
        <v>832320</v>
      </c>
      <c r="F44" s="15">
        <f t="shared" si="13"/>
        <v>8501000</v>
      </c>
      <c r="G44" s="15">
        <f t="shared" si="13"/>
        <v>13537000</v>
      </c>
      <c r="H44" s="15">
        <f t="shared" si="13"/>
        <v>1766000</v>
      </c>
      <c r="I44" s="15">
        <f t="shared" si="13"/>
        <v>737000</v>
      </c>
      <c r="J44" s="15">
        <f t="shared" si="13"/>
        <v>0</v>
      </c>
      <c r="K44" s="15">
        <f t="shared" si="13"/>
        <v>0</v>
      </c>
      <c r="L44" s="15">
        <f t="shared" si="13"/>
        <v>4716472</v>
      </c>
      <c r="M44" s="15">
        <f t="shared" si="13"/>
        <v>999000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113328792</v>
      </c>
      <c r="D45" s="138">
        <f>+'PLAN RASHODA I IZDATAKA'!D71</f>
        <v>82240000</v>
      </c>
      <c r="E45" s="138">
        <f>+'PLAN RASHODA I IZDATAKA'!E71</f>
        <v>832320</v>
      </c>
      <c r="F45" s="138">
        <f>+'PLAN RASHODA I IZDATAKA'!F71</f>
        <v>8501000</v>
      </c>
      <c r="G45" s="138">
        <f>+'PLAN RASHODA I IZDATAKA'!G71</f>
        <v>13537000</v>
      </c>
      <c r="H45" s="138">
        <f>+'PLAN RASHODA I IZDATAKA'!H71</f>
        <v>1766000</v>
      </c>
      <c r="I45" s="138">
        <f>+'PLAN RASHODA I IZDATAKA'!I71</f>
        <v>737000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4716472</v>
      </c>
      <c r="M45" s="138">
        <f>+'PLAN RASHODA I IZDATAKA'!M71</f>
        <v>999000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4.4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5556315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2000000</v>
      </c>
      <c r="I48" s="204">
        <f>SUMIFS('Plan prihoda za unos u SAP'!$H$3:$H$501,'Plan prihoda za unos u SAP'!$C$3:$C$501,"=52",'Plan prihoda za unos u SAP'!$K$3:$K$501,"=632")</f>
        <v>412000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3144315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69000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69000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631000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631000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20400000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20400000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8501000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8501000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999000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999000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7.6">
      <c r="A59" s="96" t="s">
        <v>323</v>
      </c>
      <c r="B59" s="97" t="s">
        <v>283</v>
      </c>
      <c r="C59" s="71">
        <f t="shared" si="16"/>
        <v>82794880</v>
      </c>
      <c r="D59" s="204">
        <f>SUMIFS('Plan prihoda za unos u SAP'!$H$3:$H$501,'Plan prihoda za unos u SAP'!$C$3:$C$501,"=11",'Plan prihoda za unos u SAP'!$K$3:$K$501,"=671")</f>
        <v>82240000</v>
      </c>
      <c r="E59" s="204">
        <f>SUMIFS('Plan prihoda za unos u SAP'!$H$3:$H$501,'Plan prihoda za unos u SAP'!$C$3:$C$501,"=12",'Plan prihoda za unos u SAP'!$K$3:$K$501,"=671")</f>
        <v>554880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118951195</v>
      </c>
      <c r="D62" s="4">
        <f t="shared" ref="D62:P62" si="17">SUM(D47:D61)</f>
        <v>82240000</v>
      </c>
      <c r="E62" s="4">
        <f t="shared" si="17"/>
        <v>554880</v>
      </c>
      <c r="F62" s="4">
        <f t="shared" si="17"/>
        <v>8501000</v>
      </c>
      <c r="G62" s="4">
        <f t="shared" si="17"/>
        <v>20400000</v>
      </c>
      <c r="H62" s="4">
        <f t="shared" si="17"/>
        <v>2000000</v>
      </c>
      <c r="I62" s="4">
        <f t="shared" si="17"/>
        <v>1112000</v>
      </c>
      <c r="J62" s="4">
        <f t="shared" si="17"/>
        <v>0</v>
      </c>
      <c r="K62" s="4">
        <f t="shared" si="17"/>
        <v>0</v>
      </c>
      <c r="L62" s="4">
        <f t="shared" si="17"/>
        <v>3144315</v>
      </c>
      <c r="M62" s="4">
        <f t="shared" si="17"/>
        <v>999000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25000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25000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25000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25000</v>
      </c>
      <c r="P69" s="4">
        <f t="shared" si="18"/>
        <v>0</v>
      </c>
    </row>
    <row r="70" spans="1:22" s="91" customFormat="1" ht="27.6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9" t="s">
        <v>339</v>
      </c>
      <c r="B73" s="269"/>
      <c r="C73" s="72">
        <f>SUM(D73:P73)</f>
        <v>118976195</v>
      </c>
      <c r="D73" s="72">
        <f t="shared" ref="D73:P73" si="20">+D72+D69+D62</f>
        <v>82240000</v>
      </c>
      <c r="E73" s="72">
        <f t="shared" si="20"/>
        <v>554880</v>
      </c>
      <c r="F73" s="72">
        <f t="shared" si="20"/>
        <v>8501000</v>
      </c>
      <c r="G73" s="72">
        <f t="shared" si="20"/>
        <v>20400000</v>
      </c>
      <c r="H73" s="72">
        <f t="shared" si="20"/>
        <v>2000000</v>
      </c>
      <c r="I73" s="72">
        <f t="shared" si="20"/>
        <v>1112000</v>
      </c>
      <c r="J73" s="72">
        <f t="shared" si="20"/>
        <v>0</v>
      </c>
      <c r="K73" s="72">
        <f t="shared" si="20"/>
        <v>0</v>
      </c>
      <c r="L73" s="72">
        <f t="shared" si="20"/>
        <v>3144315</v>
      </c>
      <c r="M73" s="72">
        <f t="shared" si="20"/>
        <v>999000</v>
      </c>
      <c r="N73" s="72">
        <f t="shared" si="20"/>
        <v>0</v>
      </c>
      <c r="O73" s="72">
        <f t="shared" si="20"/>
        <v>25000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6">
      <c r="A75" s="264" t="s">
        <v>292</v>
      </c>
      <c r="B75" s="265"/>
      <c r="C75" s="266" t="s">
        <v>840</v>
      </c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8"/>
    </row>
    <row r="76" spans="1:22" s="91" customFormat="1" ht="96.6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13639258</v>
      </c>
      <c r="D77" s="203">
        <f t="shared" ref="D77:P77" si="22">-D43</f>
        <v>0</v>
      </c>
      <c r="E77" s="203">
        <f t="shared" si="22"/>
        <v>173963</v>
      </c>
      <c r="F77" s="203">
        <f t="shared" si="22"/>
        <v>0</v>
      </c>
      <c r="G77" s="203">
        <f t="shared" si="22"/>
        <v>10972000</v>
      </c>
      <c r="H77" s="203">
        <f t="shared" si="22"/>
        <v>369500</v>
      </c>
      <c r="I77" s="203">
        <f t="shared" si="22"/>
        <v>800000</v>
      </c>
      <c r="J77" s="203">
        <f t="shared" si="22"/>
        <v>0</v>
      </c>
      <c r="K77" s="203">
        <f t="shared" si="22"/>
        <v>0</v>
      </c>
      <c r="L77" s="203">
        <f t="shared" si="22"/>
        <v>985795</v>
      </c>
      <c r="M77" s="203">
        <f t="shared" si="22"/>
        <v>0</v>
      </c>
      <c r="N77" s="203">
        <f t="shared" si="22"/>
        <v>0</v>
      </c>
      <c r="O77" s="203">
        <f t="shared" si="22"/>
        <v>338000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122716909</v>
      </c>
      <c r="D78" s="15">
        <f t="shared" ref="D78:P78" si="23">+D98+D105</f>
        <v>82935000</v>
      </c>
      <c r="E78" s="15">
        <f t="shared" si="23"/>
        <v>578688</v>
      </c>
      <c r="F78" s="15">
        <f t="shared" si="23"/>
        <v>8917000</v>
      </c>
      <c r="G78" s="15">
        <f t="shared" si="23"/>
        <v>24000000</v>
      </c>
      <c r="H78" s="15">
        <f t="shared" si="23"/>
        <v>900000</v>
      </c>
      <c r="I78" s="15">
        <f t="shared" si="23"/>
        <v>1046000</v>
      </c>
      <c r="J78" s="15">
        <f t="shared" si="23"/>
        <v>0</v>
      </c>
      <c r="K78" s="15">
        <f t="shared" si="23"/>
        <v>0</v>
      </c>
      <c r="L78" s="15">
        <f t="shared" si="23"/>
        <v>3279221</v>
      </c>
      <c r="M78" s="15">
        <f t="shared" si="23"/>
        <v>1034000</v>
      </c>
      <c r="N78" s="15">
        <f t="shared" si="23"/>
        <v>0</v>
      </c>
      <c r="O78" s="15">
        <f t="shared" si="23"/>
        <v>27000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-22522500</v>
      </c>
      <c r="D79" s="115"/>
      <c r="E79" s="115"/>
      <c r="F79" s="115"/>
      <c r="G79" s="115">
        <v>-20659000</v>
      </c>
      <c r="H79" s="115">
        <v>-428500</v>
      </c>
      <c r="I79" s="115">
        <v>-1070000</v>
      </c>
      <c r="J79" s="3"/>
      <c r="K79" s="115"/>
      <c r="L79" s="115"/>
      <c r="M79" s="115"/>
      <c r="N79" s="115"/>
      <c r="O79" s="115">
        <v>-365000</v>
      </c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113833667</v>
      </c>
      <c r="D80" s="15">
        <f>+D77+D78+D79</f>
        <v>82935000</v>
      </c>
      <c r="E80" s="15">
        <f t="shared" ref="E80:P80" si="24">+E77+E78+E79</f>
        <v>752651</v>
      </c>
      <c r="F80" s="15">
        <f t="shared" si="24"/>
        <v>8917000</v>
      </c>
      <c r="G80" s="15">
        <f t="shared" si="24"/>
        <v>14313000</v>
      </c>
      <c r="H80" s="15">
        <f t="shared" si="24"/>
        <v>841000</v>
      </c>
      <c r="I80" s="15">
        <f t="shared" si="24"/>
        <v>776000</v>
      </c>
      <c r="J80" s="15">
        <f t="shared" si="24"/>
        <v>0</v>
      </c>
      <c r="K80" s="15">
        <f t="shared" si="24"/>
        <v>0</v>
      </c>
      <c r="L80" s="15">
        <f t="shared" si="24"/>
        <v>4265016</v>
      </c>
      <c r="M80" s="15">
        <f t="shared" si="24"/>
        <v>1034000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113833667</v>
      </c>
      <c r="D81" s="138">
        <f>+'PLAN RASHODA I IZDATAKA'!D91</f>
        <v>82935000</v>
      </c>
      <c r="E81" s="138">
        <f>+'PLAN RASHODA I IZDATAKA'!E91</f>
        <v>752651</v>
      </c>
      <c r="F81" s="138">
        <f>+'PLAN RASHODA I IZDATAKA'!F91</f>
        <v>8917000</v>
      </c>
      <c r="G81" s="138">
        <f>+'PLAN RASHODA I IZDATAKA'!G91</f>
        <v>14313000</v>
      </c>
      <c r="H81" s="138">
        <f>+'PLAN RASHODA I IZDATAKA'!H91</f>
        <v>841000</v>
      </c>
      <c r="I81" s="138">
        <f>+'PLAN RASHODA I IZDATAKA'!I91</f>
        <v>776000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4265016</v>
      </c>
      <c r="M81" s="138">
        <f>+'PLAN RASHODA I IZDATAKA'!M91</f>
        <v>1034000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4.4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4614221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900000</v>
      </c>
      <c r="I84" s="204">
        <f>SUMIFS('Plan prihoda za unos u SAP'!$I$3:$I$501,'Plan prihoda za unos u SAP'!$C$3:$C$501,"=52",'Plan prihoda za unos u SAP'!$K$3:$K$501,"=632")</f>
        <v>435000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3279221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80000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80000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531000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531000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24000000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24000000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8917000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8917000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1034000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1034000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83513688</v>
      </c>
      <c r="D95" s="204">
        <f>SUMIFS('Plan prihoda za unos u SAP'!$I$3:$I$501,'Plan prihoda za unos u SAP'!$C$3:$C$501,"=11",'Plan prihoda za unos u SAP'!$K$3:$K$501,"=671")</f>
        <v>82935000</v>
      </c>
      <c r="E95" s="204">
        <f>SUMIFS('Plan prihoda za unos u SAP'!$I$3:$I$501,'Plan prihoda za unos u SAP'!$C$3:$C$501,"=12",'Plan prihoda za unos u SAP'!$K$3:$K$501,"=671")</f>
        <v>578688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122689909</v>
      </c>
      <c r="D98" s="4">
        <f t="shared" ref="D98:P98" si="28">SUM(D83:D97)</f>
        <v>82935000</v>
      </c>
      <c r="E98" s="4">
        <f t="shared" si="28"/>
        <v>578688</v>
      </c>
      <c r="F98" s="4">
        <f t="shared" si="28"/>
        <v>8917000</v>
      </c>
      <c r="G98" s="4">
        <f t="shared" si="28"/>
        <v>24000000</v>
      </c>
      <c r="H98" s="4">
        <f t="shared" si="28"/>
        <v>900000</v>
      </c>
      <c r="I98" s="4">
        <f t="shared" si="28"/>
        <v>1046000</v>
      </c>
      <c r="J98" s="4">
        <f t="shared" si="28"/>
        <v>0</v>
      </c>
      <c r="K98" s="4">
        <f t="shared" si="28"/>
        <v>0</v>
      </c>
      <c r="L98" s="4">
        <f t="shared" si="28"/>
        <v>3279221</v>
      </c>
      <c r="M98" s="4">
        <f t="shared" si="28"/>
        <v>1034000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27000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27000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27000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27000</v>
      </c>
      <c r="P105" s="4">
        <f t="shared" si="29"/>
        <v>0</v>
      </c>
    </row>
    <row r="106" spans="1:16" s="91" customFormat="1" ht="27.6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9" t="s">
        <v>339</v>
      </c>
      <c r="B109" s="269"/>
      <c r="C109" s="72">
        <f>SUM(D109:P109)</f>
        <v>122716909</v>
      </c>
      <c r="D109" s="72">
        <f t="shared" ref="D109:P109" si="31">+D108+D105+D98</f>
        <v>82935000</v>
      </c>
      <c r="E109" s="72">
        <f t="shared" si="31"/>
        <v>578688</v>
      </c>
      <c r="F109" s="72">
        <f t="shared" si="31"/>
        <v>8917000</v>
      </c>
      <c r="G109" s="72">
        <f t="shared" si="31"/>
        <v>24000000</v>
      </c>
      <c r="H109" s="72">
        <f t="shared" si="31"/>
        <v>900000</v>
      </c>
      <c r="I109" s="72">
        <f t="shared" si="31"/>
        <v>1046000</v>
      </c>
      <c r="J109" s="72">
        <f t="shared" si="31"/>
        <v>0</v>
      </c>
      <c r="K109" s="72">
        <f t="shared" si="31"/>
        <v>0</v>
      </c>
      <c r="L109" s="72">
        <f t="shared" si="31"/>
        <v>3279221</v>
      </c>
      <c r="M109" s="72">
        <f t="shared" si="31"/>
        <v>1034000</v>
      </c>
      <c r="N109" s="72">
        <f t="shared" si="31"/>
        <v>0</v>
      </c>
      <c r="O109" s="72">
        <f t="shared" si="31"/>
        <v>27000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4140625" defaultRowHeight="13.8"/>
  <cols>
    <col min="1" max="1" width="14.109375" style="24" customWidth="1"/>
    <col min="2" max="2" width="56.5546875" style="25" customWidth="1"/>
    <col min="3" max="3" width="13.88671875" style="1" customWidth="1"/>
    <col min="4" max="14" width="13.109375" style="26" customWidth="1"/>
    <col min="15" max="15" width="14.6640625" style="26" customWidth="1"/>
    <col min="16" max="16" width="13.109375" style="26" customWidth="1"/>
    <col min="17" max="32" width="11.44140625" style="73" customWidth="1"/>
    <col min="33" max="186" width="11.44140625" style="73"/>
    <col min="187" max="16384" width="11.441406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00000000000006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118998691</v>
      </c>
      <c r="D3" s="123">
        <f t="shared" ref="D3:P3" si="0">D4+D38+D58</f>
        <v>80455900</v>
      </c>
      <c r="E3" s="123">
        <f t="shared" si="0"/>
        <v>1797195</v>
      </c>
      <c r="F3" s="123">
        <f t="shared" si="0"/>
        <v>7741000</v>
      </c>
      <c r="G3" s="123">
        <f t="shared" si="0"/>
        <v>13591000</v>
      </c>
      <c r="H3" s="123">
        <f t="shared" si="0"/>
        <v>3464500</v>
      </c>
      <c r="I3" s="123">
        <f t="shared" si="0"/>
        <v>802000</v>
      </c>
      <c r="J3" s="123">
        <f t="shared" si="0"/>
        <v>0</v>
      </c>
      <c r="K3" s="123">
        <f t="shared" si="0"/>
        <v>0</v>
      </c>
      <c r="L3" s="123">
        <f t="shared" si="0"/>
        <v>10184096</v>
      </c>
      <c r="M3" s="123">
        <f t="shared" si="0"/>
        <v>963000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107970237</v>
      </c>
      <c r="D4" s="127">
        <f>D5+D9+D15+D19+D23+D30+D33</f>
        <v>79890704</v>
      </c>
      <c r="E4" s="127">
        <f t="shared" ref="E4:P4" si="1">E5+E9+E15+E19+E23+E30+E33</f>
        <v>805356</v>
      </c>
      <c r="F4" s="127">
        <f t="shared" si="1"/>
        <v>6820000</v>
      </c>
      <c r="G4" s="127">
        <f t="shared" si="1"/>
        <v>11205000</v>
      </c>
      <c r="H4" s="127">
        <f t="shared" si="1"/>
        <v>2995500</v>
      </c>
      <c r="I4" s="127">
        <f t="shared" si="1"/>
        <v>752000</v>
      </c>
      <c r="J4" s="127">
        <f t="shared" si="1"/>
        <v>0</v>
      </c>
      <c r="K4" s="127">
        <f t="shared" si="1"/>
        <v>0</v>
      </c>
      <c r="L4" s="127">
        <f t="shared" si="1"/>
        <v>4563677</v>
      </c>
      <c r="M4" s="127">
        <f t="shared" si="1"/>
        <v>938000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81116017</v>
      </c>
      <c r="D5" s="13">
        <f>SUM(D6:D8)</f>
        <v>72424600</v>
      </c>
      <c r="E5" s="13">
        <f t="shared" ref="E5:P5" si="3">SUM(E6:E8)</f>
        <v>226863</v>
      </c>
      <c r="F5" s="13">
        <f t="shared" si="3"/>
        <v>2340000</v>
      </c>
      <c r="G5" s="13">
        <f t="shared" si="3"/>
        <v>2050000</v>
      </c>
      <c r="H5" s="13">
        <f t="shared" si="3"/>
        <v>1732000</v>
      </c>
      <c r="I5" s="13">
        <f t="shared" si="3"/>
        <v>327000</v>
      </c>
      <c r="J5" s="13">
        <f t="shared" si="3"/>
        <v>0</v>
      </c>
      <c r="K5" s="13">
        <f t="shared" si="3"/>
        <v>0</v>
      </c>
      <c r="L5" s="13">
        <f t="shared" si="3"/>
        <v>1285554</v>
      </c>
      <c r="M5" s="13">
        <f t="shared" si="3"/>
        <v>730000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68469412</v>
      </c>
      <c r="D6" s="143">
        <f>SUMIFS('Plan rashoda za unos u SAP'!$I$3:$I$501,'Plan rashoda za unos u SAP'!$C$3:$C$501,"=11",'Plan rashoda za unos u SAP'!$M$3:$M$501,"=311")</f>
        <v>61031200</v>
      </c>
      <c r="E6" s="143">
        <f>SUMIFS('Plan rashoda za unos u SAP'!$I$3:$I$501,'Plan rashoda za unos u SAP'!$C$3:$C$501,"=12",'Plan rashoda za unos u SAP'!$M$3:$M$501,"=311")</f>
        <v>194732</v>
      </c>
      <c r="F6" s="143">
        <f>SUMIFS('Plan rashoda za unos u SAP'!$I$3:$I$501,'Plan rashoda za unos u SAP'!$C$3:$C$501,"=31",'Plan rashoda za unos u SAP'!$M$3:$M$501,"=311")</f>
        <v>1922000</v>
      </c>
      <c r="G6" s="143">
        <f>SUMIFS('Plan rashoda za unos u SAP'!$I$3:$I$501,'Plan rashoda za unos u SAP'!$C$3:$C$501,"=43",'Plan rashoda za unos u SAP'!$M$3:$M$501,"=311")</f>
        <v>1866000</v>
      </c>
      <c r="H6" s="143">
        <f>SUMIFS('Plan rashoda za unos u SAP'!$I$3:$I$501,'Plan rashoda za unos u SAP'!$C$3:$C$501,"=51",'Plan rashoda za unos u SAP'!$M$3:$M$501,"=311")</f>
        <v>1419000</v>
      </c>
      <c r="I6" s="143">
        <f>SUMIFS('Plan rashoda za unos u SAP'!$I$3:$I$501,'Plan rashoda za unos u SAP'!$C$3:$C$501,"=52",'Plan rashoda za unos u SAP'!$M$3:$M$501,"=311")</f>
        <v>263000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1103480</v>
      </c>
      <c r="M6" s="143">
        <f>SUMIFS('Plan rashoda za unos u SAP'!$I$3:$I$501,'Plan rashoda za unos u SAP'!$C$3:$C$501,"=61",'Plan rashoda za unos u SAP'!$M$3:$M$501,"=311")</f>
        <v>670000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1494000</v>
      </c>
      <c r="D7" s="143">
        <f>SUMIFS('Plan rashoda za unos u SAP'!$I$3:$I$501,'Plan rashoda za unos u SAP'!$C$3:$C$501,"=11",'Plan rashoda za unos u SAP'!$M$3:$M$501,"=312")</f>
        <v>1319000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91000</v>
      </c>
      <c r="G7" s="143">
        <f>SUMIFS('Plan rashoda za unos u SAP'!$I$3:$I$501,'Plan rashoda za unos u SAP'!$C$3:$C$501,"=43",'Plan rashoda za unos u SAP'!$M$3:$M$501,"=312")</f>
        <v>12000</v>
      </c>
      <c r="H7" s="143">
        <f>SUMIFS('Plan rashoda za unos u SAP'!$I$3:$I$501,'Plan rashoda za unos u SAP'!$C$3:$C$501,"=51",'Plan rashoda za unos u SAP'!$M$3:$M$501,"=312")</f>
        <v>57000</v>
      </c>
      <c r="I7" s="143">
        <f>SUMIFS('Plan rashoda za unos u SAP'!$I$3:$I$501,'Plan rashoda za unos u SAP'!$C$3:$C$501,"=52",'Plan rashoda za unos u SAP'!$M$3:$M$501,"=312")</f>
        <v>15000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11152605</v>
      </c>
      <c r="D8" s="143">
        <f>SUMIFS('Plan rashoda za unos u SAP'!$I$3:$I$501,'Plan rashoda za unos u SAP'!$C$3:$C$501,"=11",'Plan rashoda za unos u SAP'!$M$3:$M$501,"=313")</f>
        <v>10074400</v>
      </c>
      <c r="E8" s="143">
        <f>SUMIFS('Plan rashoda za unos u SAP'!$I$3:$I$501,'Plan rashoda za unos u SAP'!$C$3:$C$501,"=12",'Plan rashoda za unos u SAP'!$M$3:$M$501,"=313")</f>
        <v>32131</v>
      </c>
      <c r="F8" s="143">
        <f>SUMIFS('Plan rashoda za unos u SAP'!$I$3:$I$501,'Plan rashoda za unos u SAP'!$C$3:$C$501,"=31",'Plan rashoda za unos u SAP'!$M$3:$M$501,"=313")</f>
        <v>327000</v>
      </c>
      <c r="G8" s="143">
        <f>SUMIFS('Plan rashoda za unos u SAP'!$I$3:$I$501,'Plan rashoda za unos u SAP'!$C$3:$C$501,"=43",'Plan rashoda za unos u SAP'!$M$3:$M$501,"=313")</f>
        <v>172000</v>
      </c>
      <c r="H8" s="143">
        <f>SUMIFS('Plan rashoda za unos u SAP'!$I$3:$I$501,'Plan rashoda za unos u SAP'!$C$3:$C$501,"=51",'Plan rashoda za unos u SAP'!$M$3:$M$501,"=313")</f>
        <v>256000</v>
      </c>
      <c r="I8" s="143">
        <f>SUMIFS('Plan rashoda za unos u SAP'!$I$3:$I$501,'Plan rashoda za unos u SAP'!$C$3:$C$501,"=52",'Plan rashoda za unos u SAP'!$M$3:$M$501,"=313")</f>
        <v>49000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182074</v>
      </c>
      <c r="M8" s="143">
        <f>SUMIFS('Plan rashoda za unos u SAP'!$I$3:$I$501,'Plan rashoda za unos u SAP'!$C$3:$C$501,"=61",'Plan rashoda za unos u SAP'!$M$3:$M$501,"=313")</f>
        <v>60000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23871649</v>
      </c>
      <c r="D9" s="79">
        <f t="shared" ref="D9:P9" si="4">SUM(D10:D14)</f>
        <v>7432877</v>
      </c>
      <c r="E9" s="79">
        <f t="shared" si="4"/>
        <v>173216</v>
      </c>
      <c r="F9" s="79">
        <f t="shared" si="4"/>
        <v>4251000</v>
      </c>
      <c r="G9" s="79">
        <f t="shared" si="4"/>
        <v>9144000</v>
      </c>
      <c r="H9" s="79">
        <f t="shared" si="4"/>
        <v>1257000</v>
      </c>
      <c r="I9" s="79">
        <f t="shared" si="4"/>
        <v>425000</v>
      </c>
      <c r="J9" s="79">
        <f t="shared" si="4"/>
        <v>0</v>
      </c>
      <c r="K9" s="79">
        <f t="shared" si="4"/>
        <v>0</v>
      </c>
      <c r="L9" s="79">
        <f t="shared" si="4"/>
        <v>981556</v>
      </c>
      <c r="M9" s="79">
        <f t="shared" si="4"/>
        <v>207000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4887216</v>
      </c>
      <c r="D10" s="143">
        <f>SUMIFS('Plan rashoda za unos u SAP'!$I$3:$I$501,'Plan rashoda za unos u SAP'!$C$3:$C$501,"=11",'Plan rashoda za unos u SAP'!$M$3:$M$501,"=321")</f>
        <v>2953590</v>
      </c>
      <c r="E10" s="143">
        <f>SUMIFS('Plan rashoda za unos u SAP'!$I$3:$I$501,'Plan rashoda za unos u SAP'!$C$3:$C$501,"=12",'Plan rashoda za unos u SAP'!$M$3:$M$501,"=321")</f>
        <v>39769</v>
      </c>
      <c r="F10" s="143">
        <f>SUMIFS('Plan rashoda za unos u SAP'!$I$3:$I$501,'Plan rashoda za unos u SAP'!$C$3:$C$501,"=31",'Plan rashoda za unos u SAP'!$M$3:$M$501,"=321")</f>
        <v>494000</v>
      </c>
      <c r="G10" s="143">
        <f>SUMIFS('Plan rashoda za unos u SAP'!$I$3:$I$501,'Plan rashoda za unos u SAP'!$C$3:$C$501,"=43",'Plan rashoda za unos u SAP'!$M$3:$M$501,"=321")</f>
        <v>799000</v>
      </c>
      <c r="H10" s="143">
        <f>SUMIFS('Plan rashoda za unos u SAP'!$I$3:$I$501,'Plan rashoda za unos u SAP'!$C$3:$C$501,"=51",'Plan rashoda za unos u SAP'!$M$3:$M$501,"=321")</f>
        <v>244500</v>
      </c>
      <c r="I10" s="143">
        <f>SUMIFS('Plan rashoda za unos u SAP'!$I$3:$I$501,'Plan rashoda za unos u SAP'!$C$3:$C$501,"=52",'Plan rashoda za unos u SAP'!$M$3:$M$501,"=321")</f>
        <v>65000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225357</v>
      </c>
      <c r="M10" s="143">
        <f>SUMIFS('Plan rashoda za unos u SAP'!$I$3:$I$501,'Plan rashoda za unos u SAP'!$C$3:$C$501,"=61",'Plan rashoda za unos u SAP'!$M$3:$M$501,"=321")</f>
        <v>66000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10907960</v>
      </c>
      <c r="D11" s="143">
        <f>SUMIFS('Plan rashoda za unos u SAP'!$I$3:$I$501,'Plan rashoda za unos u SAP'!$C$3:$C$501,"=11",'Plan rashoda za unos u SAP'!$M$3:$M$501,"=322")</f>
        <v>3084514</v>
      </c>
      <c r="E11" s="143">
        <f>SUMIFS('Plan rashoda za unos u SAP'!$I$3:$I$501,'Plan rashoda za unos u SAP'!$C$3:$C$501,"=12",'Plan rashoda za unos u SAP'!$M$3:$M$501,"=322")</f>
        <v>90067</v>
      </c>
      <c r="F11" s="143">
        <f>SUMIFS('Plan rashoda za unos u SAP'!$I$3:$I$501,'Plan rashoda za unos u SAP'!$C$3:$C$501,"=31",'Plan rashoda za unos u SAP'!$M$3:$M$501,"=322")</f>
        <v>541000</v>
      </c>
      <c r="G11" s="143">
        <f>SUMIFS('Plan rashoda za unos u SAP'!$I$3:$I$501,'Plan rashoda za unos u SAP'!$C$3:$C$501,"=43",'Plan rashoda za unos u SAP'!$M$3:$M$501,"=322")</f>
        <v>5985000</v>
      </c>
      <c r="H11" s="143">
        <f>SUMIFS('Plan rashoda za unos u SAP'!$I$3:$I$501,'Plan rashoda za unos u SAP'!$C$3:$C$501,"=51",'Plan rashoda za unos u SAP'!$M$3:$M$501,"=322")</f>
        <v>432000</v>
      </c>
      <c r="I11" s="143">
        <f>SUMIFS('Plan rashoda za unos u SAP'!$I$3:$I$501,'Plan rashoda za unos u SAP'!$C$3:$C$501,"=52",'Plan rashoda za unos u SAP'!$M$3:$M$501,"=322")</f>
        <v>209000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510379</v>
      </c>
      <c r="M11" s="143">
        <f>SUMIFS('Plan rashoda za unos u SAP'!$I$3:$I$501,'Plan rashoda za unos u SAP'!$C$3:$C$501,"=61",'Plan rashoda za unos u SAP'!$M$3:$M$501,"=322")</f>
        <v>56000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7030069</v>
      </c>
      <c r="D12" s="143">
        <f>SUMIFS('Plan rashoda za unos u SAP'!$I$3:$I$501,'Plan rashoda za unos u SAP'!$C$3:$C$501,"=11",'Plan rashoda za unos u SAP'!$M$3:$M$501,"=323")</f>
        <v>929369</v>
      </c>
      <c r="E12" s="143">
        <f>SUMIFS('Plan rashoda za unos u SAP'!$I$3:$I$501,'Plan rashoda za unos u SAP'!$C$3:$C$501,"=12",'Plan rashoda za unos u SAP'!$M$3:$M$501,"=323")</f>
        <v>43380</v>
      </c>
      <c r="F12" s="143">
        <f>SUMIFS('Plan rashoda za unos u SAP'!$I$3:$I$501,'Plan rashoda za unos u SAP'!$C$3:$C$501,"=31",'Plan rashoda za unos u SAP'!$M$3:$M$501,"=323")</f>
        <v>2851000</v>
      </c>
      <c r="G12" s="143">
        <f>SUMIFS('Plan rashoda za unos u SAP'!$I$3:$I$501,'Plan rashoda za unos u SAP'!$C$3:$C$501,"=43",'Plan rashoda za unos u SAP'!$M$3:$M$501,"=323")</f>
        <v>2344000</v>
      </c>
      <c r="H12" s="143">
        <f>SUMIFS('Plan rashoda za unos u SAP'!$I$3:$I$501,'Plan rashoda za unos u SAP'!$C$3:$C$501,"=51",'Plan rashoda za unos u SAP'!$M$3:$M$501,"=323")</f>
        <v>435500</v>
      </c>
      <c r="I12" s="143">
        <f>SUMIFS('Plan rashoda za unos u SAP'!$I$3:$I$501,'Plan rashoda za unos u SAP'!$C$3:$C$501,"=52",'Plan rashoda za unos u SAP'!$M$3:$M$501,"=323")</f>
        <v>115000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245820</v>
      </c>
      <c r="M12" s="143">
        <f>SUMIFS('Plan rashoda za unos u SAP'!$I$3:$I$501,'Plan rashoda za unos u SAP'!$C$3:$C$501,"=61",'Plan rashoda za unos u SAP'!$M$3:$M$501,"=323")</f>
        <v>66000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138398</v>
      </c>
      <c r="D13" s="143">
        <f>SUMIFS('Plan rashoda za unos u SAP'!$I$3:$I$501,'Plan rashoda za unos u SAP'!$C$3:$C$501,"=11",'Plan rashoda za unos u SAP'!$M$3:$M$501,"=324")</f>
        <v>17398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65000</v>
      </c>
      <c r="G13" s="143">
        <f>SUMIFS('Plan rashoda za unos u SAP'!$I$3:$I$501,'Plan rashoda za unos u SAP'!$C$3:$C$501,"=43",'Plan rashoda za unos u SAP'!$M$3:$M$501,"=324")</f>
        <v>9000</v>
      </c>
      <c r="H13" s="143">
        <f>SUMIFS('Plan rashoda za unos u SAP'!$I$3:$I$501,'Plan rashoda za unos u SAP'!$C$3:$C$501,"=51",'Plan rashoda za unos u SAP'!$M$3:$M$501,"=324")</f>
        <v>39000</v>
      </c>
      <c r="I13" s="143">
        <f>SUMIFS('Plan rashoda za unos u SAP'!$I$3:$I$501,'Plan rashoda za unos u SAP'!$C$3:$C$501,"=52",'Plan rashoda za unos u SAP'!$M$3:$M$501,"=324")</f>
        <v>5000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3000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908006</v>
      </c>
      <c r="D14" s="143">
        <f>SUMIFS('Plan rashoda za unos u SAP'!$I$3:$I$501,'Plan rashoda za unos u SAP'!$C$3:$C$501,"=11",'Plan rashoda za unos u SAP'!$M$3:$M$501,"=329")</f>
        <v>448006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300000</v>
      </c>
      <c r="G14" s="143">
        <f>SUMIFS('Plan rashoda za unos u SAP'!$I$3:$I$501,'Plan rashoda za unos u SAP'!$C$3:$C$501,"=43",'Plan rashoda za unos u SAP'!$M$3:$M$501,"=329")</f>
        <v>7000</v>
      </c>
      <c r="H14" s="143">
        <f>SUMIFS('Plan rashoda za unos u SAP'!$I$3:$I$501,'Plan rashoda za unos u SAP'!$C$3:$C$501,"=51",'Plan rashoda za unos u SAP'!$M$3:$M$501,"=329")</f>
        <v>106000</v>
      </c>
      <c r="I14" s="143">
        <f>SUMIFS('Plan rashoda za unos u SAP'!$I$3:$I$501,'Plan rashoda za unos u SAP'!$C$3:$C$501,"=52",'Plan rashoda za unos u SAP'!$M$3:$M$501,"=329")</f>
        <v>31000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16000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280727</v>
      </c>
      <c r="D15" s="4">
        <f t="shared" ref="D15:P15" si="5">SUM(D16:D18)</f>
        <v>33227</v>
      </c>
      <c r="E15" s="4">
        <f t="shared" si="5"/>
        <v>0</v>
      </c>
      <c r="F15" s="4">
        <f t="shared" si="5"/>
        <v>229000</v>
      </c>
      <c r="G15" s="4">
        <f t="shared" si="5"/>
        <v>11000</v>
      </c>
      <c r="H15" s="4">
        <f t="shared" si="5"/>
        <v>6500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1000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51000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51000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229727</v>
      </c>
      <c r="D18" s="143">
        <f>SUMIFS('Plan rashoda za unos u SAP'!$I$3:$I$501,'Plan rashoda za unos u SAP'!$C$3:$C$501,"=11",'Plan rashoda za unos u SAP'!$M$3:$M$501,"=343")</f>
        <v>33227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178000</v>
      </c>
      <c r="G18" s="143">
        <f>SUMIFS('Plan rashoda za unos u SAP'!$I$3:$I$501,'Plan rashoda za unos u SAP'!$C$3:$C$501,"=43",'Plan rashoda za unos u SAP'!$M$3:$M$501,"=343")</f>
        <v>11000</v>
      </c>
      <c r="H18" s="143">
        <f>SUMIFS('Plan rashoda za unos u SAP'!$I$3:$I$501,'Plan rashoda za unos u SAP'!$C$3:$C$501,"=51",'Plan rashoda za unos u SAP'!$M$3:$M$501,"=343")</f>
        <v>6500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1000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2701844</v>
      </c>
      <c r="D23" s="79">
        <f t="shared" ref="D23:P23" si="7">SUM(D24:D29)</f>
        <v>0</v>
      </c>
      <c r="E23" s="79">
        <f t="shared" si="7"/>
        <v>405277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2296567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2701844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405277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2296567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10028454</v>
      </c>
      <c r="D38" s="128">
        <f>D42+D49+D51+D53+D39</f>
        <v>565196</v>
      </c>
      <c r="E38" s="128">
        <f t="shared" ref="E38:P38" si="10">E42+E49+E51+E53+E39</f>
        <v>991839</v>
      </c>
      <c r="F38" s="128">
        <f t="shared" si="10"/>
        <v>921000</v>
      </c>
      <c r="G38" s="128">
        <f t="shared" si="10"/>
        <v>1386000</v>
      </c>
      <c r="H38" s="128">
        <f t="shared" si="10"/>
        <v>469000</v>
      </c>
      <c r="I38" s="128">
        <f t="shared" si="10"/>
        <v>50000</v>
      </c>
      <c r="J38" s="128">
        <f t="shared" si="10"/>
        <v>0</v>
      </c>
      <c r="K38" s="128">
        <f t="shared" si="10"/>
        <v>0</v>
      </c>
      <c r="L38" s="128">
        <f t="shared" si="10"/>
        <v>5620419</v>
      </c>
      <c r="M38" s="128">
        <f t="shared" si="10"/>
        <v>25000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100000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100000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100000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100000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8818454</v>
      </c>
      <c r="D42" s="4">
        <f t="shared" ref="D42:P42" si="12">SUM(D43:D48)</f>
        <v>565196</v>
      </c>
      <c r="E42" s="4">
        <f t="shared" si="12"/>
        <v>991839</v>
      </c>
      <c r="F42" s="4">
        <f t="shared" si="12"/>
        <v>811000</v>
      </c>
      <c r="G42" s="4">
        <f t="shared" si="12"/>
        <v>386000</v>
      </c>
      <c r="H42" s="4">
        <f t="shared" si="12"/>
        <v>369000</v>
      </c>
      <c r="I42" s="4">
        <f t="shared" si="12"/>
        <v>50000</v>
      </c>
      <c r="J42" s="4">
        <f t="shared" si="12"/>
        <v>0</v>
      </c>
      <c r="K42" s="4">
        <f t="shared" si="12"/>
        <v>0</v>
      </c>
      <c r="L42" s="4">
        <f t="shared" si="12"/>
        <v>5620419</v>
      </c>
      <c r="M42" s="4">
        <f t="shared" si="12"/>
        <v>25000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8502454</v>
      </c>
      <c r="D44" s="143">
        <f>SUMIFS('Plan rashoda za unos u SAP'!$I$3:$I$501,'Plan rashoda za unos u SAP'!$C$3:$C$501,"=11",'Plan rashoda za unos u SAP'!$M$3:$M$501,"=422")</f>
        <v>565196</v>
      </c>
      <c r="E44" s="143">
        <f>SUMIFS('Plan rashoda za unos u SAP'!$I$3:$I$501,'Plan rashoda za unos u SAP'!$C$3:$C$501,"=12",'Plan rashoda za unos u SAP'!$M$3:$M$501,"=422")</f>
        <v>991839</v>
      </c>
      <c r="F44" s="143">
        <f>SUMIFS('Plan rashoda za unos u SAP'!$I$3:$I$501,'Plan rashoda za unos u SAP'!$C$3:$C$501,"=31",'Plan rashoda za unos u SAP'!$M$3:$M$501,"=422")</f>
        <v>638000</v>
      </c>
      <c r="G44" s="143">
        <f>SUMIFS('Plan rashoda za unos u SAP'!$I$3:$I$501,'Plan rashoda za unos u SAP'!$C$3:$C$501,"=43",'Plan rashoda za unos u SAP'!$M$3:$M$501,"=422")</f>
        <v>243000</v>
      </c>
      <c r="H44" s="143">
        <f>SUMIFS('Plan rashoda za unos u SAP'!$I$3:$I$501,'Plan rashoda za unos u SAP'!$C$3:$C$501,"=51",'Plan rashoda za unos u SAP'!$M$3:$M$501,"=422")</f>
        <v>369000</v>
      </c>
      <c r="I44" s="143">
        <f>SUMIFS('Plan rashoda za unos u SAP'!$I$3:$I$501,'Plan rashoda za unos u SAP'!$C$3:$C$501,"=52",'Plan rashoda za unos u SAP'!$M$3:$M$501,"=422")</f>
        <v>50000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5620419</v>
      </c>
      <c r="M44" s="143">
        <f>SUMIFS('Plan rashoda za unos u SAP'!$I$3:$I$501,'Plan rashoda za unos u SAP'!$C$3:$C$501,"=61",'Plan rashoda za unos u SAP'!$M$3:$M$501,"=422")</f>
        <v>25000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153000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123000</v>
      </c>
      <c r="G46" s="143">
        <f>SUMIFS('Plan rashoda za unos u SAP'!$I$3:$I$501,'Plan rashoda za unos u SAP'!$C$3:$C$501,"=43",'Plan rashoda za unos u SAP'!$M$3:$M$501,"=424")</f>
        <v>30000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163000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50000</v>
      </c>
      <c r="G48" s="143">
        <f>SUMIFS('Plan rashoda za unos u SAP'!$I$3:$I$501,'Plan rashoda za unos u SAP'!$C$3:$C$501,"=43",'Plan rashoda za unos u SAP'!$M$3:$M$501,"=426")</f>
        <v>113000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1110000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110000</v>
      </c>
      <c r="G53" s="4">
        <f t="shared" si="15"/>
        <v>1000000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30000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30000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1080000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80000</v>
      </c>
      <c r="G55" s="143">
        <f>SUMIFS('Plan rashoda za unos u SAP'!$I$3:$I$501,'Plan rashoda za unos u SAP'!$C$3:$C$501,"=43",'Plan rashoda za unos u SAP'!$M$3:$M$501,"=452")</f>
        <v>1000000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1000000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1000000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1000000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1000000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1000000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1000000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00000000000006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113328792</v>
      </c>
      <c r="D71" s="123">
        <f t="shared" ref="D71:P71" si="21">+D72+D80+D86</f>
        <v>82240000</v>
      </c>
      <c r="E71" s="123">
        <f t="shared" si="21"/>
        <v>832320</v>
      </c>
      <c r="F71" s="123">
        <f t="shared" si="21"/>
        <v>8501000</v>
      </c>
      <c r="G71" s="123">
        <f t="shared" si="21"/>
        <v>13537000</v>
      </c>
      <c r="H71" s="123">
        <f t="shared" si="21"/>
        <v>1766000</v>
      </c>
      <c r="I71" s="123">
        <f t="shared" si="21"/>
        <v>737000</v>
      </c>
      <c r="J71" s="123">
        <f t="shared" si="21"/>
        <v>0</v>
      </c>
      <c r="K71" s="123">
        <f t="shared" si="21"/>
        <v>0</v>
      </c>
      <c r="L71" s="123">
        <f t="shared" si="21"/>
        <v>4716472</v>
      </c>
      <c r="M71" s="123">
        <f t="shared" si="21"/>
        <v>999000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108487539</v>
      </c>
      <c r="D72" s="132">
        <f t="shared" ref="D72:P72" si="22">SUM(D73:D79)</f>
        <v>81662247</v>
      </c>
      <c r="E72" s="132">
        <f t="shared" si="22"/>
        <v>832320</v>
      </c>
      <c r="F72" s="132">
        <f t="shared" si="22"/>
        <v>7491000</v>
      </c>
      <c r="G72" s="132">
        <f t="shared" si="22"/>
        <v>10648000</v>
      </c>
      <c r="H72" s="132">
        <f t="shared" si="22"/>
        <v>1491500</v>
      </c>
      <c r="I72" s="132">
        <f t="shared" si="22"/>
        <v>677000</v>
      </c>
      <c r="J72" s="132">
        <f t="shared" si="22"/>
        <v>0</v>
      </c>
      <c r="K72" s="132">
        <f t="shared" si="22"/>
        <v>0</v>
      </c>
      <c r="L72" s="132">
        <f t="shared" si="22"/>
        <v>4716472</v>
      </c>
      <c r="M72" s="132">
        <f t="shared" si="22"/>
        <v>969000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82272312</v>
      </c>
      <c r="D73" s="143">
        <f>SUMIFS('Plan rashoda za unos u SAP'!$J$3:$J$501,'Plan rashoda za unos u SAP'!$C$3:$C$501,"=11",'Plan rashoda za unos u SAP'!$N$3:$N$501,"=31")</f>
        <v>74030326</v>
      </c>
      <c r="E73" s="143">
        <f>SUMIFS('Plan rashoda za unos u SAP'!$J$3:$J$501,'Plan rashoda za unos u SAP'!$C$3:$C$501,"=12",'Plan rashoda za unos u SAP'!$N$3:$N$501,"=31")</f>
        <v>245548</v>
      </c>
      <c r="F73" s="143">
        <f>SUMIFS('Plan rashoda za unos u SAP'!$J$3:$J$501,'Plan rashoda za unos u SAP'!$C$3:$C$501,"=31",'Plan rashoda za unos u SAP'!$N$3:$N$501,"=31")</f>
        <v>2669000</v>
      </c>
      <c r="G73" s="143">
        <f>SUMIFS('Plan rashoda za unos u SAP'!$J$3:$J$501,'Plan rashoda za unos u SAP'!$C$3:$C$501,"=43",'Plan rashoda za unos u SAP'!$N$3:$N$501,"=31")</f>
        <v>2059000</v>
      </c>
      <c r="H73" s="143">
        <f>SUMIFS('Plan rashoda za unos u SAP'!$J$3:$J$501,'Plan rashoda za unos u SAP'!$C$3:$C$501,"=51",'Plan rashoda za unos u SAP'!$N$3:$N$501,"=31")</f>
        <v>893000</v>
      </c>
      <c r="I73" s="143">
        <f>SUMIFS('Plan rashoda za unos u SAP'!$J$3:$J$501,'Plan rashoda za unos u SAP'!$C$3:$C$501,"=52",'Plan rashoda za unos u SAP'!$N$3:$N$501,"=31")</f>
        <v>234000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1391438</v>
      </c>
      <c r="M73" s="143">
        <f>SUMIFS('Plan rashoda za unos u SAP'!$J$3:$J$501,'Plan rashoda za unos u SAP'!$C$3:$C$501,"=61",'Plan rashoda za unos u SAP'!$N$3:$N$501,"=31")</f>
        <v>750000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23196918</v>
      </c>
      <c r="D74" s="143">
        <f>SUMIFS('Plan rashoda za unos u SAP'!$J$3:$J$501,'Plan rashoda za unos u SAP'!$C$3:$C$501,"=11",'Plan rashoda za unos u SAP'!$N$3:$N$501,"=32")</f>
        <v>7597956</v>
      </c>
      <c r="E74" s="143">
        <f>SUMIFS('Plan rashoda za unos u SAP'!$J$3:$J$501,'Plan rashoda za unos u SAP'!$C$3:$C$501,"=12",'Plan rashoda za unos u SAP'!$N$3:$N$501,"=32")</f>
        <v>181495</v>
      </c>
      <c r="F74" s="143">
        <f>SUMIFS('Plan rashoda za unos u SAP'!$J$3:$J$501,'Plan rashoda za unos u SAP'!$C$3:$C$501,"=31",'Plan rashoda za unos u SAP'!$N$3:$N$501,"=32")</f>
        <v>4556000</v>
      </c>
      <c r="G74" s="143">
        <f>SUMIFS('Plan rashoda za unos u SAP'!$J$3:$J$501,'Plan rashoda za unos u SAP'!$C$3:$C$501,"=43",'Plan rashoda za unos u SAP'!$N$3:$N$501,"=32")</f>
        <v>8578000</v>
      </c>
      <c r="H74" s="143">
        <f>SUMIFS('Plan rashoda za unos u SAP'!$J$3:$J$501,'Plan rashoda za unos u SAP'!$C$3:$C$501,"=51",'Plan rashoda za unos u SAP'!$N$3:$N$501,"=32")</f>
        <v>594000</v>
      </c>
      <c r="I74" s="143">
        <f>SUMIFS('Plan rashoda za unos u SAP'!$J$3:$J$501,'Plan rashoda za unos u SAP'!$C$3:$C$501,"=52",'Plan rashoda za unos u SAP'!$N$3:$N$501,"=32")</f>
        <v>443000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1028467</v>
      </c>
      <c r="M74" s="143">
        <f>SUMIFS('Plan rashoda za unos u SAP'!$J$3:$J$501,'Plan rashoda za unos u SAP'!$C$3:$C$501,"=61",'Plan rashoda za unos u SAP'!$N$3:$N$501,"=32")</f>
        <v>218000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316465</v>
      </c>
      <c r="D75" s="143">
        <f>SUMIFS('Plan rashoda za unos u SAP'!$J$3:$J$501,'Plan rashoda za unos u SAP'!$C$3:$C$501,"=11",'Plan rashoda za unos u SAP'!$N$3:$N$501,"=34")</f>
        <v>33965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266000</v>
      </c>
      <c r="G75" s="143">
        <f>SUMIFS('Plan rashoda za unos u SAP'!$J$3:$J$501,'Plan rashoda za unos u SAP'!$C$3:$C$501,"=43",'Plan rashoda za unos u SAP'!$N$3:$N$501,"=34")</f>
        <v>11000</v>
      </c>
      <c r="H75" s="143">
        <f>SUMIFS('Plan rashoda za unos u SAP'!$J$3:$J$501,'Plan rashoda za unos u SAP'!$C$3:$C$501,"=51",'Plan rashoda za unos u SAP'!$N$3:$N$501,"=34")</f>
        <v>4500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1000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2701844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405277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2296567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3841253</v>
      </c>
      <c r="D80" s="133">
        <f t="shared" ref="D80:P80" si="24">SUM(D81:D85)</f>
        <v>577753</v>
      </c>
      <c r="E80" s="133">
        <f t="shared" si="24"/>
        <v>0</v>
      </c>
      <c r="F80" s="133">
        <f t="shared" si="24"/>
        <v>1010000</v>
      </c>
      <c r="G80" s="133">
        <f t="shared" si="24"/>
        <v>1889000</v>
      </c>
      <c r="H80" s="133">
        <f t="shared" si="24"/>
        <v>274500</v>
      </c>
      <c r="I80" s="133">
        <f t="shared" si="24"/>
        <v>60000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30000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50000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50000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2158253</v>
      </c>
      <c r="D82" s="143">
        <f>SUMIFS('Plan rashoda za unos u SAP'!$J$3:$J$501,'Plan rashoda za unos u SAP'!$C$3:$C$501,"=11",'Plan rashoda za unos u SAP'!$N$3:$N$501,"=42")</f>
        <v>577753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877000</v>
      </c>
      <c r="G82" s="143">
        <f>SUMIFS('Plan rashoda za unos u SAP'!$J$3:$J$501,'Plan rashoda za unos u SAP'!$C$3:$C$501,"=43",'Plan rashoda za unos u SAP'!$N$3:$N$501,"=42")</f>
        <v>389000</v>
      </c>
      <c r="H82" s="143">
        <f>SUMIFS('Plan rashoda za unos u SAP'!$J$3:$J$501,'Plan rashoda za unos u SAP'!$C$3:$C$501,"=51",'Plan rashoda za unos u SAP'!$N$3:$N$501,"=42")</f>
        <v>224500</v>
      </c>
      <c r="I82" s="143">
        <f>SUMIFS('Plan rashoda za unos u SAP'!$J$3:$J$501,'Plan rashoda za unos u SAP'!$C$3:$C$501,"=52",'Plan rashoda za unos u SAP'!$N$3:$N$501,"=42")</f>
        <v>60000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30000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1633000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133000</v>
      </c>
      <c r="G85" s="143">
        <f>SUMIFS('Plan rashoda za unos u SAP'!$J$3:$J$501,'Plan rashoda za unos u SAP'!$C$3:$C$501,"=43",'Plan rashoda za unos u SAP'!$N$3:$N$501,"=45")</f>
        <v>1500000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1000000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1000000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1000000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1000000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00000000000006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113833667</v>
      </c>
      <c r="D91" s="123">
        <f t="shared" ref="D91:P91" si="27">D92+D100+D106</f>
        <v>82935000</v>
      </c>
      <c r="E91" s="123">
        <f t="shared" si="27"/>
        <v>752651</v>
      </c>
      <c r="F91" s="123">
        <f t="shared" si="27"/>
        <v>8917000</v>
      </c>
      <c r="G91" s="123">
        <f t="shared" si="27"/>
        <v>14313000</v>
      </c>
      <c r="H91" s="123">
        <f t="shared" si="27"/>
        <v>841000</v>
      </c>
      <c r="I91" s="123">
        <f t="shared" si="27"/>
        <v>776000</v>
      </c>
      <c r="J91" s="123">
        <f t="shared" si="27"/>
        <v>0</v>
      </c>
      <c r="K91" s="123">
        <f t="shared" si="27"/>
        <v>0</v>
      </c>
      <c r="L91" s="123">
        <f t="shared" si="27"/>
        <v>4265016</v>
      </c>
      <c r="M91" s="123">
        <f t="shared" si="27"/>
        <v>1034000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109378914</v>
      </c>
      <c r="D92" s="132">
        <f t="shared" ref="D92:P92" si="28">SUM(D93:D99)</f>
        <v>82357247</v>
      </c>
      <c r="E92" s="132">
        <f t="shared" si="28"/>
        <v>752651</v>
      </c>
      <c r="F92" s="132">
        <f t="shared" si="28"/>
        <v>7812000</v>
      </c>
      <c r="G92" s="132">
        <f t="shared" si="28"/>
        <v>11784000</v>
      </c>
      <c r="H92" s="132">
        <f t="shared" si="28"/>
        <v>704000</v>
      </c>
      <c r="I92" s="132">
        <f t="shared" si="28"/>
        <v>706000</v>
      </c>
      <c r="J92" s="132">
        <f t="shared" si="28"/>
        <v>0</v>
      </c>
      <c r="K92" s="132">
        <f t="shared" si="28"/>
        <v>0</v>
      </c>
      <c r="L92" s="132">
        <f t="shared" si="28"/>
        <v>4265016</v>
      </c>
      <c r="M92" s="132">
        <f t="shared" si="28"/>
        <v>998000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82453709</v>
      </c>
      <c r="D93" s="143">
        <f>SUMIFS('Plan rashoda za unos u SAP'!$K$3:$K$501,'Plan rashoda za unos u SAP'!$C$3:$C$501,"=11",'Plan rashoda za unos u SAP'!$N$3:$N$501,"=31")</f>
        <v>74713090</v>
      </c>
      <c r="E93" s="143">
        <f>SUMIFS('Plan rashoda za unos u SAP'!$K$3:$K$501,'Plan rashoda za unos u SAP'!$C$3:$C$501,"=12",'Plan rashoda za unos u SAP'!$N$3:$N$501,"=31")</f>
        <v>189993</v>
      </c>
      <c r="F93" s="143">
        <f>SUMIFS('Plan rashoda za unos u SAP'!$K$3:$K$501,'Plan rashoda za unos u SAP'!$C$3:$C$501,"=31",'Plan rashoda za unos u SAP'!$N$3:$N$501,"=31")</f>
        <v>2861000</v>
      </c>
      <c r="G93" s="143">
        <f>SUMIFS('Plan rashoda za unos u SAP'!$K$3:$K$501,'Plan rashoda za unos u SAP'!$C$3:$C$501,"=43",'Plan rashoda za unos u SAP'!$N$3:$N$501,"=31")</f>
        <v>2193000</v>
      </c>
      <c r="H93" s="143">
        <f>SUMIFS('Plan rashoda za unos u SAP'!$K$3:$K$501,'Plan rashoda za unos u SAP'!$C$3:$C$501,"=51",'Plan rashoda za unos u SAP'!$N$3:$N$501,"=31")</f>
        <v>407000</v>
      </c>
      <c r="I93" s="143">
        <f>SUMIFS('Plan rashoda za unos u SAP'!$K$3:$K$501,'Plan rashoda za unos u SAP'!$C$3:$C$501,"=52",'Plan rashoda za unos u SAP'!$N$3:$N$501,"=31")</f>
        <v>243000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1076626</v>
      </c>
      <c r="M93" s="143">
        <f>SUMIFS('Plan rashoda za unos u SAP'!$K$3:$K$501,'Plan rashoda za unos u SAP'!$C$3:$C$501,"=61",'Plan rashoda za unos u SAP'!$N$3:$N$501,"=31")</f>
        <v>770000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23885396</v>
      </c>
      <c r="D94" s="143">
        <f>SUMIFS('Plan rashoda za unos u SAP'!$K$3:$K$501,'Plan rashoda za unos u SAP'!$C$3:$C$501,"=11",'Plan rashoda za unos u SAP'!$N$3:$N$501,"=32")</f>
        <v>7610192</v>
      </c>
      <c r="E94" s="143">
        <f>SUMIFS('Plan rashoda za unos u SAP'!$K$3:$K$501,'Plan rashoda za unos u SAP'!$C$3:$C$501,"=12",'Plan rashoda za unos u SAP'!$N$3:$N$501,"=32")</f>
        <v>157381</v>
      </c>
      <c r="F94" s="143">
        <f>SUMIFS('Plan rashoda za unos u SAP'!$K$3:$K$501,'Plan rashoda za unos u SAP'!$C$3:$C$501,"=31",'Plan rashoda za unos u SAP'!$N$3:$N$501,"=32")</f>
        <v>4664000</v>
      </c>
      <c r="G94" s="143">
        <f>SUMIFS('Plan rashoda za unos u SAP'!$K$3:$K$501,'Plan rashoda za unos u SAP'!$C$3:$C$501,"=43",'Plan rashoda za unos u SAP'!$N$3:$N$501,"=32")</f>
        <v>9578000</v>
      </c>
      <c r="H94" s="143">
        <f>SUMIFS('Plan rashoda za unos u SAP'!$K$3:$K$501,'Plan rashoda za unos u SAP'!$C$3:$C$501,"=51",'Plan rashoda za unos u SAP'!$N$3:$N$501,"=32")</f>
        <v>294000</v>
      </c>
      <c r="I94" s="143">
        <f>SUMIFS('Plan rashoda za unos u SAP'!$K$3:$K$501,'Plan rashoda za unos u SAP'!$C$3:$C$501,"=52",'Plan rashoda za unos u SAP'!$N$3:$N$501,"=32")</f>
        <v>463000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891823</v>
      </c>
      <c r="M94" s="143">
        <f>SUMIFS('Plan rashoda za unos u SAP'!$K$3:$K$501,'Plan rashoda za unos u SAP'!$C$3:$C$501,"=61",'Plan rashoda za unos u SAP'!$N$3:$N$501,"=32")</f>
        <v>227000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337965</v>
      </c>
      <c r="D95" s="143">
        <f>SUMIFS('Plan rashoda za unos u SAP'!$K$3:$K$501,'Plan rashoda za unos u SAP'!$C$3:$C$501,"=11",'Plan rashoda za unos u SAP'!$N$3:$N$501,"=34")</f>
        <v>33965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287000</v>
      </c>
      <c r="G95" s="143">
        <f>SUMIFS('Plan rashoda za unos u SAP'!$K$3:$K$501,'Plan rashoda za unos u SAP'!$C$3:$C$501,"=43",'Plan rashoda za unos u SAP'!$N$3:$N$501,"=34")</f>
        <v>13000</v>
      </c>
      <c r="H95" s="143">
        <f>SUMIFS('Plan rashoda za unos u SAP'!$K$3:$K$501,'Plan rashoda za unos u SAP'!$C$3:$C$501,"=51",'Plan rashoda za unos u SAP'!$N$3:$N$501,"=34")</f>
        <v>3000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1000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2701844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405277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2296567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3854753</v>
      </c>
      <c r="D100" s="133">
        <f t="shared" ref="D100:P100" si="30">SUM(D101:D105)</f>
        <v>577753</v>
      </c>
      <c r="E100" s="133">
        <f t="shared" si="30"/>
        <v>0</v>
      </c>
      <c r="F100" s="133">
        <f t="shared" si="30"/>
        <v>1105000</v>
      </c>
      <c r="G100" s="133">
        <f t="shared" si="30"/>
        <v>1929000</v>
      </c>
      <c r="H100" s="133">
        <f t="shared" si="30"/>
        <v>137000</v>
      </c>
      <c r="I100" s="133">
        <f t="shared" si="30"/>
        <v>70000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36000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2204753</v>
      </c>
      <c r="D102" s="143">
        <f>SUMIFS('Plan rashoda za unos u SAP'!$K$3:$K$501,'Plan rashoda za unos u SAP'!$C$3:$C$501,"=11",'Plan rashoda za unos u SAP'!$N$3:$N$501,"=42")</f>
        <v>577753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955000</v>
      </c>
      <c r="G102" s="143">
        <f>SUMIFS('Plan rashoda za unos u SAP'!$K$3:$K$501,'Plan rashoda za unos u SAP'!$C$3:$C$501,"=43",'Plan rashoda za unos u SAP'!$N$3:$N$501,"=42")</f>
        <v>429000</v>
      </c>
      <c r="H102" s="143">
        <f>SUMIFS('Plan rashoda za unos u SAP'!$K$3:$K$501,'Plan rashoda za unos u SAP'!$C$3:$C$501,"=51",'Plan rashoda za unos u SAP'!$N$3:$N$501,"=42")</f>
        <v>137000</v>
      </c>
      <c r="I102" s="143">
        <f>SUMIFS('Plan rashoda za unos u SAP'!$K$3:$K$501,'Plan rashoda za unos u SAP'!$C$3:$C$501,"=52",'Plan rashoda za unos u SAP'!$N$3:$N$501,"=42")</f>
        <v>70000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36000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1650000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150000</v>
      </c>
      <c r="G105" s="143">
        <f>SUMIFS('Plan rashoda za unos u SAP'!$K$3:$K$501,'Plan rashoda za unos u SAP'!$C$3:$C$501,"=43",'Plan rashoda za unos u SAP'!$N$3:$N$501,"=45")</f>
        <v>1500000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600000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600000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600000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600000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7"/>
  <sheetViews>
    <sheetView workbookViewId="0">
      <selection activeCell="A25" sqref="A25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7" t="s">
        <v>237</v>
      </c>
      <c r="B1" s="27"/>
      <c r="C1" s="27"/>
      <c r="D1" s="27"/>
      <c r="E1" s="27"/>
      <c r="F1" s="27"/>
      <c r="G1" s="27"/>
    </row>
    <row r="2" spans="1:8" ht="15.6">
      <c r="A2" s="27"/>
      <c r="B2" s="27"/>
      <c r="C2" s="27"/>
      <c r="D2" s="27"/>
      <c r="E2" s="27"/>
      <c r="F2" s="27"/>
      <c r="G2" s="27"/>
    </row>
    <row r="3" spans="1:8" ht="15.6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 t="s">
        <v>1670</v>
      </c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6">
      <c r="A8" s="27" t="s">
        <v>239</v>
      </c>
      <c r="B8" s="27"/>
    </row>
    <row r="9" spans="1:8" ht="1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>
        <v>8005</v>
      </c>
      <c r="B12" s="31">
        <v>43</v>
      </c>
      <c r="C12" s="32" t="s">
        <v>194</v>
      </c>
      <c r="D12" s="216">
        <v>5443</v>
      </c>
      <c r="E12" s="33">
        <v>1000000</v>
      </c>
      <c r="F12" s="34">
        <v>1000000</v>
      </c>
      <c r="G12" s="35">
        <v>1000000</v>
      </c>
      <c r="H12" s="36">
        <v>600000</v>
      </c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 t="s">
        <v>1666</v>
      </c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 t="s">
        <v>1671</v>
      </c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scale="8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149" activePane="bottomLeft" state="frozen"/>
      <selection pane="bottomLeft" activeCell="N154" sqref="N154"/>
    </sheetView>
  </sheetViews>
  <sheetFormatPr defaultColWidth="0" defaultRowHeight="14.4" zeroHeight="1"/>
  <cols>
    <col min="1" max="1" width="11.5546875" style="144" customWidth="1"/>
    <col min="2" max="2" width="32.109375" style="144" customWidth="1"/>
    <col min="3" max="3" width="11.33203125" style="144" customWidth="1"/>
    <col min="4" max="4" width="25.44140625" style="144" customWidth="1"/>
    <col min="5" max="5" width="16.44140625" style="144" customWidth="1"/>
    <col min="6" max="6" width="27.109375" style="144" customWidth="1"/>
    <col min="7" max="7" width="16.44140625" style="145" customWidth="1"/>
    <col min="8" max="8" width="15.6640625" style="145" customWidth="1"/>
    <col min="9" max="9" width="15.109375" style="145" customWidth="1"/>
    <col min="10" max="10" width="33.6640625" style="145" customWidth="1"/>
    <col min="11" max="12" width="9.5546875" style="145" customWidth="1"/>
    <col min="13" max="13" width="15.109375" style="145" customWidth="1"/>
    <col min="14" max="14" width="18.33203125" style="145" customWidth="1"/>
    <col min="15" max="15" width="9.109375" style="144" customWidth="1"/>
    <col min="16" max="18" width="9.109375" style="144" hidden="1" customWidth="1"/>
    <col min="19" max="19" width="46.5546875" style="144" hidden="1" customWidth="1"/>
    <col min="20" max="21" width="9.109375" style="144" hidden="1" customWidth="1"/>
    <col min="22" max="22" width="58.88671875" style="144" hidden="1" customWidth="1"/>
    <col min="23" max="28" width="0" style="144" hidden="1" customWidth="1"/>
    <col min="29" max="16384" width="9.10937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57.6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914</v>
      </c>
      <c r="F3" s="149" t="str">
        <f>IFERROR(VLOOKUP(E3,$AA$6:$AB$200,2,FALSE),"")</f>
        <v>NOVI PODPROJEKT</v>
      </c>
      <c r="G3" s="198">
        <v>150000</v>
      </c>
      <c r="H3" s="198">
        <v>0</v>
      </c>
      <c r="I3" s="198">
        <v>0</v>
      </c>
      <c r="J3" s="226" t="s">
        <v>1672</v>
      </c>
      <c r="K3" s="225">
        <v>43435</v>
      </c>
      <c r="L3" s="225">
        <v>43951</v>
      </c>
      <c r="M3" s="226" t="s">
        <v>1673</v>
      </c>
      <c r="N3" s="226" t="s">
        <v>1692</v>
      </c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3121</v>
      </c>
      <c r="D4" s="149" t="str">
        <f t="shared" si="0"/>
        <v>Ostali rashodi za zaposlene</v>
      </c>
      <c r="E4" s="201" t="s">
        <v>914</v>
      </c>
      <c r="F4" s="149" t="str">
        <f t="shared" ref="F4:F67" si="2">IFERROR(VLOOKUP(E4,$AA$6:$AB$200,2,FALSE),"")</f>
        <v>NOVI PODPROJEKT</v>
      </c>
      <c r="G4" s="198">
        <v>4000</v>
      </c>
      <c r="H4" s="198">
        <v>0</v>
      </c>
      <c r="I4" s="198">
        <v>0</v>
      </c>
      <c r="J4" s="226" t="s">
        <v>1672</v>
      </c>
      <c r="K4" s="225">
        <v>43435</v>
      </c>
      <c r="L4" s="225">
        <v>43951</v>
      </c>
      <c r="M4" s="226" t="s">
        <v>1673</v>
      </c>
      <c r="N4" s="226" t="s">
        <v>1692</v>
      </c>
      <c r="P4" s="144" t="str">
        <f t="shared" ref="P4:P67" si="3">LEFT(C4,3)</f>
        <v>312</v>
      </c>
      <c r="Q4" s="144" t="str">
        <f t="shared" ref="Q4:Q67" si="4">LEFT(C4,2)</f>
        <v>31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3132</v>
      </c>
      <c r="D5" s="149" t="str">
        <f t="shared" si="0"/>
        <v>Doprinosi za obvezno zdravstveno osiguranje</v>
      </c>
      <c r="E5" s="201" t="s">
        <v>914</v>
      </c>
      <c r="F5" s="149" t="str">
        <f t="shared" si="2"/>
        <v>NOVI PODPROJEKT</v>
      </c>
      <c r="G5" s="198">
        <v>28000</v>
      </c>
      <c r="H5" s="198">
        <v>0</v>
      </c>
      <c r="I5" s="198">
        <v>0</v>
      </c>
      <c r="J5" s="226" t="s">
        <v>1672</v>
      </c>
      <c r="K5" s="225">
        <v>43435</v>
      </c>
      <c r="L5" s="225">
        <v>43951</v>
      </c>
      <c r="M5" s="226" t="s">
        <v>1673</v>
      </c>
      <c r="N5" s="226" t="s">
        <v>1692</v>
      </c>
      <c r="P5" s="144" t="str">
        <f t="shared" si="3"/>
        <v>313</v>
      </c>
      <c r="Q5" s="144" t="str">
        <f t="shared" si="4"/>
        <v>31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3211</v>
      </c>
      <c r="D6" s="149" t="str">
        <f t="shared" si="0"/>
        <v>Službena putovanja</v>
      </c>
      <c r="E6" s="201" t="s">
        <v>914</v>
      </c>
      <c r="F6" s="149" t="str">
        <f t="shared" si="2"/>
        <v>NOVI PODPROJEKT</v>
      </c>
      <c r="G6" s="198">
        <v>5000</v>
      </c>
      <c r="H6" s="198">
        <v>0</v>
      </c>
      <c r="I6" s="198">
        <v>0</v>
      </c>
      <c r="J6" s="226" t="s">
        <v>1672</v>
      </c>
      <c r="K6" s="225">
        <v>43435</v>
      </c>
      <c r="L6" s="225">
        <v>43951</v>
      </c>
      <c r="M6" s="226" t="s">
        <v>1673</v>
      </c>
      <c r="N6" s="226" t="s">
        <v>1692</v>
      </c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3212</v>
      </c>
      <c r="D7" s="149" t="str">
        <f t="shared" si="0"/>
        <v>Naknade za prijevoz, za rad na terenu i odvojeni život</v>
      </c>
      <c r="E7" s="201" t="s">
        <v>914</v>
      </c>
      <c r="F7" s="149" t="str">
        <f t="shared" si="2"/>
        <v>NOVI PODPROJEKT</v>
      </c>
      <c r="G7" s="198">
        <v>2000</v>
      </c>
      <c r="H7" s="198">
        <v>0</v>
      </c>
      <c r="I7" s="198">
        <v>0</v>
      </c>
      <c r="J7" s="226" t="s">
        <v>1672</v>
      </c>
      <c r="K7" s="225">
        <v>43435</v>
      </c>
      <c r="L7" s="225">
        <v>43951</v>
      </c>
      <c r="M7" s="226" t="s">
        <v>1673</v>
      </c>
      <c r="N7" s="226" t="s">
        <v>1692</v>
      </c>
      <c r="P7" s="144" t="str">
        <f t="shared" si="3"/>
        <v>321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3213</v>
      </c>
      <c r="D8" s="149" t="str">
        <f t="shared" si="0"/>
        <v>Stručno usavršavanje zaposlenika</v>
      </c>
      <c r="E8" s="201" t="s">
        <v>914</v>
      </c>
      <c r="F8" s="149" t="str">
        <f t="shared" si="2"/>
        <v>NOVI PODPROJEKT</v>
      </c>
      <c r="G8" s="198">
        <v>7000</v>
      </c>
      <c r="H8" s="198">
        <v>0</v>
      </c>
      <c r="I8" s="198">
        <v>0</v>
      </c>
      <c r="J8" s="226" t="s">
        <v>1672</v>
      </c>
      <c r="K8" s="225">
        <v>43435</v>
      </c>
      <c r="L8" s="225">
        <v>43951</v>
      </c>
      <c r="M8" s="226" t="s">
        <v>1673</v>
      </c>
      <c r="N8" s="226" t="s">
        <v>1692</v>
      </c>
      <c r="P8" s="144" t="str">
        <f t="shared" si="3"/>
        <v>321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3221</v>
      </c>
      <c r="D9" s="149" t="str">
        <f t="shared" si="0"/>
        <v>Uredski materijal i ostali materijalni rashodi</v>
      </c>
      <c r="E9" s="201" t="s">
        <v>914</v>
      </c>
      <c r="F9" s="149" t="str">
        <f t="shared" si="2"/>
        <v>NOVI PODPROJEKT</v>
      </c>
      <c r="G9" s="198">
        <v>5000</v>
      </c>
      <c r="H9" s="198">
        <v>0</v>
      </c>
      <c r="I9" s="198">
        <v>0</v>
      </c>
      <c r="J9" s="226" t="s">
        <v>1672</v>
      </c>
      <c r="K9" s="225">
        <v>43435</v>
      </c>
      <c r="L9" s="225">
        <v>43951</v>
      </c>
      <c r="M9" s="226" t="s">
        <v>1673</v>
      </c>
      <c r="N9" s="226" t="s">
        <v>1692</v>
      </c>
      <c r="P9" s="144" t="str">
        <f t="shared" si="3"/>
        <v>322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3222</v>
      </c>
      <c r="D10" s="149" t="str">
        <f t="shared" si="0"/>
        <v>Materijal i sirovine</v>
      </c>
      <c r="E10" s="201" t="s">
        <v>914</v>
      </c>
      <c r="F10" s="149" t="str">
        <f t="shared" si="2"/>
        <v>NOVI PODPROJEKT</v>
      </c>
      <c r="G10" s="198">
        <v>120000</v>
      </c>
      <c r="H10" s="198">
        <v>0</v>
      </c>
      <c r="I10" s="198">
        <v>0</v>
      </c>
      <c r="J10" s="226" t="s">
        <v>1672</v>
      </c>
      <c r="K10" s="225">
        <v>43435</v>
      </c>
      <c r="L10" s="225">
        <v>43951</v>
      </c>
      <c r="M10" s="226" t="s">
        <v>1673</v>
      </c>
      <c r="N10" s="226" t="s">
        <v>1692</v>
      </c>
      <c r="P10" s="144" t="str">
        <f t="shared" si="3"/>
        <v>322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3231</v>
      </c>
      <c r="D11" s="149" t="str">
        <f t="shared" si="0"/>
        <v>Usluge telefona, pošte i prijevoza</v>
      </c>
      <c r="E11" s="201" t="s">
        <v>914</v>
      </c>
      <c r="F11" s="149" t="str">
        <f t="shared" si="2"/>
        <v>NOVI PODPROJEKT</v>
      </c>
      <c r="G11" s="198">
        <v>10000</v>
      </c>
      <c r="H11" s="198">
        <v>0</v>
      </c>
      <c r="I11" s="198">
        <v>0</v>
      </c>
      <c r="J11" s="226" t="s">
        <v>1672</v>
      </c>
      <c r="K11" s="225">
        <v>43435</v>
      </c>
      <c r="L11" s="225">
        <v>43951</v>
      </c>
      <c r="M11" s="226" t="s">
        <v>1673</v>
      </c>
      <c r="N11" s="226" t="s">
        <v>1692</v>
      </c>
      <c r="P11" s="144" t="str">
        <f t="shared" si="3"/>
        <v>323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3232</v>
      </c>
      <c r="D12" s="149" t="str">
        <f t="shared" si="0"/>
        <v>Usluge tekućeg i investicijskog održavanja</v>
      </c>
      <c r="E12" s="201" t="s">
        <v>914</v>
      </c>
      <c r="F12" s="149" t="str">
        <f t="shared" si="2"/>
        <v>NOVI PODPROJEKT</v>
      </c>
      <c r="G12" s="198">
        <v>32000</v>
      </c>
      <c r="H12" s="198">
        <v>0</v>
      </c>
      <c r="I12" s="198">
        <v>0</v>
      </c>
      <c r="J12" s="226" t="s">
        <v>1672</v>
      </c>
      <c r="K12" s="225">
        <v>43435</v>
      </c>
      <c r="L12" s="225">
        <v>43951</v>
      </c>
      <c r="M12" s="226" t="s">
        <v>1673</v>
      </c>
      <c r="N12" s="226" t="s">
        <v>1692</v>
      </c>
      <c r="P12" s="144" t="str">
        <f t="shared" si="3"/>
        <v>323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51</v>
      </c>
      <c r="B13" s="149" t="str">
        <f t="shared" si="1"/>
        <v>Pomoći EU</v>
      </c>
      <c r="C13" s="154">
        <v>3233</v>
      </c>
      <c r="D13" s="149" t="str">
        <f t="shared" si="0"/>
        <v>Usluge promidžbe i informiranja</v>
      </c>
      <c r="E13" s="201" t="s">
        <v>914</v>
      </c>
      <c r="F13" s="149" t="str">
        <f t="shared" si="2"/>
        <v>NOVI PODPROJEKT</v>
      </c>
      <c r="G13" s="198">
        <v>20000</v>
      </c>
      <c r="H13" s="198">
        <v>0</v>
      </c>
      <c r="I13" s="198">
        <v>0</v>
      </c>
      <c r="J13" s="226" t="s">
        <v>1672</v>
      </c>
      <c r="K13" s="225">
        <v>43435</v>
      </c>
      <c r="L13" s="225">
        <v>43951</v>
      </c>
      <c r="M13" s="226" t="s">
        <v>1673</v>
      </c>
      <c r="N13" s="226" t="s">
        <v>1692</v>
      </c>
      <c r="P13" s="144" t="str">
        <f t="shared" si="3"/>
        <v>323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51</v>
      </c>
      <c r="B14" s="149" t="str">
        <f t="shared" si="1"/>
        <v>Pomoći EU</v>
      </c>
      <c r="C14" s="154">
        <v>3235</v>
      </c>
      <c r="D14" s="149" t="str">
        <f t="shared" si="0"/>
        <v>Zakupnine i najamnine</v>
      </c>
      <c r="E14" s="201" t="s">
        <v>914</v>
      </c>
      <c r="F14" s="149" t="str">
        <f t="shared" si="2"/>
        <v>NOVI PODPROJEKT</v>
      </c>
      <c r="G14" s="198">
        <v>1000</v>
      </c>
      <c r="H14" s="198">
        <v>0</v>
      </c>
      <c r="I14" s="198">
        <v>0</v>
      </c>
      <c r="J14" s="226" t="s">
        <v>1672</v>
      </c>
      <c r="K14" s="225">
        <v>43435</v>
      </c>
      <c r="L14" s="225">
        <v>43951</v>
      </c>
      <c r="M14" s="226" t="s">
        <v>1673</v>
      </c>
      <c r="N14" s="226" t="s">
        <v>1692</v>
      </c>
      <c r="P14" s="144" t="str">
        <f t="shared" si="3"/>
        <v>323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51</v>
      </c>
      <c r="B15" s="149" t="str">
        <f t="shared" si="1"/>
        <v>Pomoći EU</v>
      </c>
      <c r="C15" s="154">
        <v>3237</v>
      </c>
      <c r="D15" s="149" t="str">
        <f t="shared" si="0"/>
        <v>Intelektualne i osobne usluge</v>
      </c>
      <c r="E15" s="201" t="s">
        <v>914</v>
      </c>
      <c r="F15" s="149" t="str">
        <f t="shared" si="2"/>
        <v>NOVI PODPROJEKT</v>
      </c>
      <c r="G15" s="198">
        <v>14000</v>
      </c>
      <c r="H15" s="198">
        <v>0</v>
      </c>
      <c r="I15" s="198">
        <v>0</v>
      </c>
      <c r="J15" s="226" t="s">
        <v>1672</v>
      </c>
      <c r="K15" s="225">
        <v>43435</v>
      </c>
      <c r="L15" s="225">
        <v>43951</v>
      </c>
      <c r="M15" s="226" t="s">
        <v>1673</v>
      </c>
      <c r="N15" s="226" t="s">
        <v>1692</v>
      </c>
      <c r="P15" s="144" t="str">
        <f t="shared" si="3"/>
        <v>323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51</v>
      </c>
      <c r="B16" s="149" t="str">
        <f t="shared" si="1"/>
        <v>Pomoći EU</v>
      </c>
      <c r="C16" s="154">
        <v>3238</v>
      </c>
      <c r="D16" s="149" t="str">
        <f t="shared" si="0"/>
        <v>Računalne usluge</v>
      </c>
      <c r="E16" s="201" t="s">
        <v>914</v>
      </c>
      <c r="F16" s="149" t="str">
        <f t="shared" si="2"/>
        <v>NOVI PODPROJEKT</v>
      </c>
      <c r="G16" s="198">
        <v>2000</v>
      </c>
      <c r="H16" s="198">
        <v>0</v>
      </c>
      <c r="I16" s="198">
        <v>0</v>
      </c>
      <c r="J16" s="226" t="s">
        <v>1672</v>
      </c>
      <c r="K16" s="225">
        <v>43435</v>
      </c>
      <c r="L16" s="225">
        <v>43951</v>
      </c>
      <c r="M16" s="226" t="s">
        <v>1673</v>
      </c>
      <c r="N16" s="226" t="s">
        <v>1692</v>
      </c>
      <c r="P16" s="144" t="str">
        <f t="shared" si="3"/>
        <v>323</v>
      </c>
      <c r="Q16" s="144" t="str">
        <f t="shared" si="4"/>
        <v>32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51</v>
      </c>
      <c r="B17" s="149" t="str">
        <f t="shared" si="1"/>
        <v>Pomoći EU</v>
      </c>
      <c r="C17" s="154">
        <v>3241</v>
      </c>
      <c r="D17" s="149" t="str">
        <f t="shared" si="0"/>
        <v>Naknade troškova osobama izvan radnog odnosa</v>
      </c>
      <c r="E17" s="201" t="s">
        <v>914</v>
      </c>
      <c r="F17" s="149" t="str">
        <f t="shared" si="2"/>
        <v>NOVI PODPROJEKT</v>
      </c>
      <c r="G17" s="198">
        <v>1000</v>
      </c>
      <c r="H17" s="198">
        <v>0</v>
      </c>
      <c r="I17" s="198">
        <v>0</v>
      </c>
      <c r="J17" s="226" t="s">
        <v>1672</v>
      </c>
      <c r="K17" s="225">
        <v>43435</v>
      </c>
      <c r="L17" s="225">
        <v>43951</v>
      </c>
      <c r="M17" s="226" t="s">
        <v>1673</v>
      </c>
      <c r="N17" s="226" t="s">
        <v>1692</v>
      </c>
      <c r="P17" s="144" t="str">
        <f t="shared" si="3"/>
        <v>324</v>
      </c>
      <c r="Q17" s="144" t="str">
        <f t="shared" si="4"/>
        <v>32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51</v>
      </c>
      <c r="B18" s="149" t="str">
        <f t="shared" si="1"/>
        <v>Pomoći EU</v>
      </c>
      <c r="C18" s="154">
        <v>3293</v>
      </c>
      <c r="D18" s="149" t="str">
        <f t="shared" si="0"/>
        <v>Reprezentacija</v>
      </c>
      <c r="E18" s="201" t="s">
        <v>914</v>
      </c>
      <c r="F18" s="149" t="str">
        <f t="shared" si="2"/>
        <v>NOVI PODPROJEKT</v>
      </c>
      <c r="G18" s="198">
        <v>3000</v>
      </c>
      <c r="H18" s="198">
        <v>0</v>
      </c>
      <c r="I18" s="198">
        <v>0</v>
      </c>
      <c r="J18" s="226" t="s">
        <v>1672</v>
      </c>
      <c r="K18" s="225">
        <v>43435</v>
      </c>
      <c r="L18" s="225">
        <v>43951</v>
      </c>
      <c r="M18" s="226" t="s">
        <v>1673</v>
      </c>
      <c r="N18" s="226" t="s">
        <v>1692</v>
      </c>
      <c r="P18" s="144" t="str">
        <f t="shared" si="3"/>
        <v>329</v>
      </c>
      <c r="Q18" s="144" t="str">
        <f t="shared" si="4"/>
        <v>32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51</v>
      </c>
      <c r="B19" s="149" t="str">
        <f t="shared" si="1"/>
        <v>Pomoći EU</v>
      </c>
      <c r="C19" s="154">
        <v>4221</v>
      </c>
      <c r="D19" s="149" t="str">
        <f t="shared" si="0"/>
        <v>Uredska oprema i namještaj</v>
      </c>
      <c r="E19" s="201" t="s">
        <v>914</v>
      </c>
      <c r="F19" s="149" t="str">
        <f t="shared" si="2"/>
        <v>NOVI PODPROJEKT</v>
      </c>
      <c r="G19" s="198">
        <v>15000</v>
      </c>
      <c r="H19" s="198">
        <v>0</v>
      </c>
      <c r="I19" s="198">
        <v>0</v>
      </c>
      <c r="J19" s="226" t="s">
        <v>1672</v>
      </c>
      <c r="K19" s="225">
        <v>43435</v>
      </c>
      <c r="L19" s="225">
        <v>43951</v>
      </c>
      <c r="M19" s="226" t="s">
        <v>1673</v>
      </c>
      <c r="N19" s="226" t="s">
        <v>1692</v>
      </c>
      <c r="P19" s="144" t="str">
        <f t="shared" si="3"/>
        <v>422</v>
      </c>
      <c r="Q19" s="144" t="str">
        <f t="shared" si="4"/>
        <v>42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51</v>
      </c>
      <c r="B20" s="149" t="str">
        <f t="shared" si="1"/>
        <v>Pomoći EU</v>
      </c>
      <c r="C20" s="154">
        <v>3111</v>
      </c>
      <c r="D20" s="149" t="str">
        <f t="shared" si="0"/>
        <v>Plaće za redovan rad</v>
      </c>
      <c r="E20" s="201" t="s">
        <v>959</v>
      </c>
      <c r="F20" s="149" t="str">
        <f t="shared" si="2"/>
        <v>Projekt Europskog društva za izučavanje traumatskog stresa</v>
      </c>
      <c r="G20" s="198">
        <v>110000</v>
      </c>
      <c r="H20" s="198">
        <v>115000</v>
      </c>
      <c r="I20" s="198">
        <v>120000</v>
      </c>
      <c r="J20" s="226"/>
      <c r="K20" s="225">
        <v>41791</v>
      </c>
      <c r="L20" s="225" t="s">
        <v>1675</v>
      </c>
      <c r="M20" s="226" t="s">
        <v>1676</v>
      </c>
      <c r="N20" s="226" t="s">
        <v>1674</v>
      </c>
      <c r="P20" s="144" t="str">
        <f t="shared" si="3"/>
        <v>311</v>
      </c>
      <c r="Q20" s="144" t="str">
        <f t="shared" si="4"/>
        <v>31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>
        <v>51</v>
      </c>
      <c r="B21" s="149" t="str">
        <f t="shared" si="1"/>
        <v>Pomoći EU</v>
      </c>
      <c r="C21" s="154">
        <v>3121</v>
      </c>
      <c r="D21" s="149" t="str">
        <f t="shared" si="0"/>
        <v>Ostali rashodi za zaposlene</v>
      </c>
      <c r="E21" s="201" t="s">
        <v>959</v>
      </c>
      <c r="F21" s="149" t="str">
        <f t="shared" si="2"/>
        <v>Projekt Europskog društva za izučavanje traumatskog stresa</v>
      </c>
      <c r="G21" s="198">
        <v>4000</v>
      </c>
      <c r="H21" s="198">
        <v>4000</v>
      </c>
      <c r="I21" s="198">
        <v>4000</v>
      </c>
      <c r="J21" s="226"/>
      <c r="K21" s="225">
        <v>41791</v>
      </c>
      <c r="L21" s="225" t="s">
        <v>1675</v>
      </c>
      <c r="M21" s="226" t="s">
        <v>1676</v>
      </c>
      <c r="N21" s="226" t="s">
        <v>1674</v>
      </c>
      <c r="P21" s="144" t="str">
        <f t="shared" si="3"/>
        <v>312</v>
      </c>
      <c r="Q21" s="144" t="str">
        <f t="shared" si="4"/>
        <v>31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51</v>
      </c>
      <c r="B22" s="149" t="str">
        <f t="shared" si="1"/>
        <v>Pomoći EU</v>
      </c>
      <c r="C22" s="154">
        <v>3132</v>
      </c>
      <c r="D22" s="149" t="str">
        <f t="shared" si="0"/>
        <v>Doprinosi za obvezno zdravstveno osiguranje</v>
      </c>
      <c r="E22" s="201" t="s">
        <v>959</v>
      </c>
      <c r="F22" s="149" t="str">
        <f t="shared" si="2"/>
        <v>Projekt Europskog društva za izučavanje traumatskog stresa</v>
      </c>
      <c r="G22" s="198">
        <v>19000</v>
      </c>
      <c r="H22" s="198">
        <v>22000</v>
      </c>
      <c r="I22" s="198">
        <v>23000</v>
      </c>
      <c r="J22" s="226"/>
      <c r="K22" s="225">
        <v>41791</v>
      </c>
      <c r="L22" s="225" t="s">
        <v>1675</v>
      </c>
      <c r="M22" s="226" t="s">
        <v>1676</v>
      </c>
      <c r="N22" s="226" t="s">
        <v>1674</v>
      </c>
      <c r="P22" s="144" t="str">
        <f t="shared" si="3"/>
        <v>313</v>
      </c>
      <c r="Q22" s="144" t="str">
        <f t="shared" si="4"/>
        <v>31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51</v>
      </c>
      <c r="B23" s="149" t="str">
        <f t="shared" si="1"/>
        <v>Pomoći EU</v>
      </c>
      <c r="C23" s="154">
        <v>3211</v>
      </c>
      <c r="D23" s="149" t="str">
        <f t="shared" si="0"/>
        <v>Službena putovanja</v>
      </c>
      <c r="E23" s="201" t="s">
        <v>959</v>
      </c>
      <c r="F23" s="149" t="str">
        <f t="shared" si="2"/>
        <v>Projekt Europskog društva za izučavanje traumatskog stresa</v>
      </c>
      <c r="G23" s="198">
        <v>15000</v>
      </c>
      <c r="H23" s="198">
        <v>16000</v>
      </c>
      <c r="I23" s="198">
        <v>17000</v>
      </c>
      <c r="J23" s="226"/>
      <c r="K23" s="225">
        <v>41791</v>
      </c>
      <c r="L23" s="225" t="s">
        <v>1675</v>
      </c>
      <c r="M23" s="226" t="s">
        <v>1676</v>
      </c>
      <c r="N23" s="226" t="s">
        <v>1674</v>
      </c>
      <c r="P23" s="144" t="str">
        <f t="shared" si="3"/>
        <v>321</v>
      </c>
      <c r="Q23" s="144" t="str">
        <f t="shared" si="4"/>
        <v>32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>
        <v>51</v>
      </c>
      <c r="B24" s="149" t="str">
        <f t="shared" si="1"/>
        <v>Pomoći EU</v>
      </c>
      <c r="C24" s="154">
        <v>3212</v>
      </c>
      <c r="D24" s="149" t="str">
        <f t="shared" si="0"/>
        <v>Naknade za prijevoz, za rad na terenu i odvojeni život</v>
      </c>
      <c r="E24" s="201" t="s">
        <v>959</v>
      </c>
      <c r="F24" s="149" t="str">
        <f t="shared" si="2"/>
        <v>Projekt Europskog društva za izučavanje traumatskog stresa</v>
      </c>
      <c r="G24" s="198">
        <v>3000</v>
      </c>
      <c r="H24" s="198">
        <v>3000</v>
      </c>
      <c r="I24" s="198">
        <v>3000</v>
      </c>
      <c r="J24" s="226"/>
      <c r="K24" s="225">
        <v>41791</v>
      </c>
      <c r="L24" s="225" t="s">
        <v>1675</v>
      </c>
      <c r="M24" s="226" t="s">
        <v>1676</v>
      </c>
      <c r="N24" s="226" t="s">
        <v>1674</v>
      </c>
      <c r="P24" s="144" t="str">
        <f t="shared" si="3"/>
        <v>321</v>
      </c>
      <c r="Q24" s="144" t="str">
        <f t="shared" si="4"/>
        <v>32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>
        <v>51</v>
      </c>
      <c r="B25" s="149" t="str">
        <f t="shared" si="1"/>
        <v>Pomoći EU</v>
      </c>
      <c r="C25" s="154">
        <v>3213</v>
      </c>
      <c r="D25" s="149" t="str">
        <f t="shared" si="0"/>
        <v>Stručno usavršavanje zaposlenika</v>
      </c>
      <c r="E25" s="201" t="s">
        <v>959</v>
      </c>
      <c r="F25" s="149" t="str">
        <f t="shared" si="2"/>
        <v>Projekt Europskog društva za izučavanje traumatskog stresa</v>
      </c>
      <c r="G25" s="198">
        <v>2000</v>
      </c>
      <c r="H25" s="198">
        <v>2000</v>
      </c>
      <c r="I25" s="198">
        <v>2000</v>
      </c>
      <c r="J25" s="226"/>
      <c r="K25" s="225">
        <v>41791</v>
      </c>
      <c r="L25" s="225" t="s">
        <v>1675</v>
      </c>
      <c r="M25" s="226" t="s">
        <v>1676</v>
      </c>
      <c r="N25" s="226" t="s">
        <v>1674</v>
      </c>
      <c r="P25" s="144" t="str">
        <f t="shared" si="3"/>
        <v>321</v>
      </c>
      <c r="Q25" s="144" t="str">
        <f t="shared" si="4"/>
        <v>32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>
        <v>51</v>
      </c>
      <c r="B26" s="149" t="str">
        <f t="shared" si="1"/>
        <v>Pomoći EU</v>
      </c>
      <c r="C26" s="154">
        <v>3221</v>
      </c>
      <c r="D26" s="149" t="str">
        <f t="shared" si="0"/>
        <v>Uredski materijal i ostali materijalni rashodi</v>
      </c>
      <c r="E26" s="201" t="s">
        <v>959</v>
      </c>
      <c r="F26" s="149" t="str">
        <f t="shared" si="2"/>
        <v>Projekt Europskog društva za izučavanje traumatskog stresa</v>
      </c>
      <c r="G26" s="198">
        <v>3000</v>
      </c>
      <c r="H26" s="198">
        <v>3000</v>
      </c>
      <c r="I26" s="198">
        <v>3000</v>
      </c>
      <c r="J26" s="226"/>
      <c r="K26" s="225">
        <v>41791</v>
      </c>
      <c r="L26" s="225" t="s">
        <v>1675</v>
      </c>
      <c r="M26" s="226" t="s">
        <v>1676</v>
      </c>
      <c r="N26" s="226" t="s">
        <v>1674</v>
      </c>
      <c r="P26" s="144" t="str">
        <f t="shared" si="3"/>
        <v>322</v>
      </c>
      <c r="Q26" s="144" t="str">
        <f t="shared" si="4"/>
        <v>32</v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>
        <v>51</v>
      </c>
      <c r="B27" s="149" t="str">
        <f t="shared" si="1"/>
        <v>Pomoći EU</v>
      </c>
      <c r="C27" s="154">
        <v>3222</v>
      </c>
      <c r="D27" s="149" t="str">
        <f t="shared" si="0"/>
        <v>Materijal i sirovine</v>
      </c>
      <c r="E27" s="201" t="s">
        <v>959</v>
      </c>
      <c r="F27" s="149" t="str">
        <f t="shared" si="2"/>
        <v>Projekt Europskog društva za izučavanje traumatskog stresa</v>
      </c>
      <c r="G27" s="198">
        <v>10000</v>
      </c>
      <c r="H27" s="198">
        <v>12000</v>
      </c>
      <c r="I27" s="198">
        <v>15000</v>
      </c>
      <c r="J27" s="226"/>
      <c r="K27" s="225">
        <v>41791</v>
      </c>
      <c r="L27" s="225" t="s">
        <v>1675</v>
      </c>
      <c r="M27" s="226" t="s">
        <v>1676</v>
      </c>
      <c r="N27" s="226" t="s">
        <v>1674</v>
      </c>
      <c r="P27" s="144" t="str">
        <f t="shared" si="3"/>
        <v>322</v>
      </c>
      <c r="Q27" s="144" t="str">
        <f t="shared" si="4"/>
        <v>32</v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>
        <v>51</v>
      </c>
      <c r="B28" s="149" t="str">
        <f t="shared" si="1"/>
        <v>Pomoći EU</v>
      </c>
      <c r="C28" s="154">
        <v>3224</v>
      </c>
      <c r="D28" s="149" t="str">
        <f t="shared" si="0"/>
        <v>Materijal i dijelovi za tekuće i investicijsko održavanje</v>
      </c>
      <c r="E28" s="201" t="s">
        <v>959</v>
      </c>
      <c r="F28" s="149" t="str">
        <f t="shared" si="2"/>
        <v>Projekt Europskog društva za izučavanje traumatskog stresa</v>
      </c>
      <c r="G28" s="198">
        <v>1000</v>
      </c>
      <c r="H28" s="198">
        <v>1000</v>
      </c>
      <c r="I28" s="198">
        <v>1000</v>
      </c>
      <c r="J28" s="226"/>
      <c r="K28" s="225">
        <v>41791</v>
      </c>
      <c r="L28" s="225" t="s">
        <v>1675</v>
      </c>
      <c r="M28" s="226" t="s">
        <v>1676</v>
      </c>
      <c r="N28" s="226" t="s">
        <v>1674</v>
      </c>
      <c r="P28" s="144" t="str">
        <f t="shared" si="3"/>
        <v>322</v>
      </c>
      <c r="Q28" s="144" t="str">
        <f t="shared" si="4"/>
        <v>32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>
        <v>51</v>
      </c>
      <c r="B29" s="149" t="str">
        <f t="shared" si="1"/>
        <v>Pomoći EU</v>
      </c>
      <c r="C29" s="154">
        <v>3225</v>
      </c>
      <c r="D29" s="149" t="str">
        <f t="shared" si="0"/>
        <v>Sitni inventar i auto gume</v>
      </c>
      <c r="E29" s="201" t="s">
        <v>959</v>
      </c>
      <c r="F29" s="149" t="str">
        <f t="shared" si="2"/>
        <v>Projekt Europskog društva za izučavanje traumatskog stresa</v>
      </c>
      <c r="G29" s="198">
        <v>2000</v>
      </c>
      <c r="H29" s="198">
        <v>2000</v>
      </c>
      <c r="I29" s="198">
        <v>2000</v>
      </c>
      <c r="J29" s="226"/>
      <c r="K29" s="225">
        <v>41791</v>
      </c>
      <c r="L29" s="225" t="s">
        <v>1675</v>
      </c>
      <c r="M29" s="226" t="s">
        <v>1676</v>
      </c>
      <c r="N29" s="226" t="s">
        <v>1674</v>
      </c>
      <c r="P29" s="144" t="str">
        <f t="shared" si="3"/>
        <v>322</v>
      </c>
      <c r="Q29" s="144" t="str">
        <f t="shared" si="4"/>
        <v>32</v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>
        <v>51</v>
      </c>
      <c r="B30" s="149" t="str">
        <f t="shared" si="1"/>
        <v>Pomoći EU</v>
      </c>
      <c r="C30" s="154">
        <v>3231</v>
      </c>
      <c r="D30" s="149" t="str">
        <f t="shared" si="0"/>
        <v>Usluge telefona, pošte i prijevoza</v>
      </c>
      <c r="E30" s="201" t="s">
        <v>959</v>
      </c>
      <c r="F30" s="149" t="str">
        <f t="shared" si="2"/>
        <v>Projekt Europskog društva za izučavanje traumatskog stresa</v>
      </c>
      <c r="G30" s="198">
        <v>2000</v>
      </c>
      <c r="H30" s="198">
        <v>2000</v>
      </c>
      <c r="I30" s="198">
        <v>2000</v>
      </c>
      <c r="J30" s="226"/>
      <c r="K30" s="225">
        <v>41791</v>
      </c>
      <c r="L30" s="225" t="s">
        <v>1675</v>
      </c>
      <c r="M30" s="226" t="s">
        <v>1676</v>
      </c>
      <c r="N30" s="226" t="s">
        <v>1674</v>
      </c>
      <c r="P30" s="144" t="str">
        <f t="shared" si="3"/>
        <v>323</v>
      </c>
      <c r="Q30" s="144" t="str">
        <f t="shared" si="4"/>
        <v>32</v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>
        <v>51</v>
      </c>
      <c r="B31" s="149" t="str">
        <f t="shared" si="1"/>
        <v>Pomoći EU</v>
      </c>
      <c r="C31" s="154">
        <v>3233</v>
      </c>
      <c r="D31" s="149" t="str">
        <f t="shared" si="0"/>
        <v>Usluge promidžbe i informiranja</v>
      </c>
      <c r="E31" s="201" t="s">
        <v>959</v>
      </c>
      <c r="F31" s="149" t="str">
        <f t="shared" si="2"/>
        <v>Projekt Europskog društva za izučavanje traumatskog stresa</v>
      </c>
      <c r="G31" s="198">
        <v>1000</v>
      </c>
      <c r="H31" s="198">
        <v>1000</v>
      </c>
      <c r="I31" s="198">
        <v>1000</v>
      </c>
      <c r="J31" s="226"/>
      <c r="K31" s="225">
        <v>41791</v>
      </c>
      <c r="L31" s="225" t="s">
        <v>1675</v>
      </c>
      <c r="M31" s="226" t="s">
        <v>1676</v>
      </c>
      <c r="N31" s="226" t="s">
        <v>1674</v>
      </c>
      <c r="P31" s="144" t="str">
        <f t="shared" si="3"/>
        <v>323</v>
      </c>
      <c r="Q31" s="144" t="str">
        <f t="shared" si="4"/>
        <v>32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>
        <v>51</v>
      </c>
      <c r="B32" s="149" t="str">
        <f t="shared" si="1"/>
        <v>Pomoći EU</v>
      </c>
      <c r="C32" s="154">
        <v>3235</v>
      </c>
      <c r="D32" s="149" t="str">
        <f t="shared" si="0"/>
        <v>Zakupnine i najamnine</v>
      </c>
      <c r="E32" s="201" t="s">
        <v>959</v>
      </c>
      <c r="F32" s="149" t="str">
        <f t="shared" si="2"/>
        <v>Projekt Europskog društva za izučavanje traumatskog stresa</v>
      </c>
      <c r="G32" s="198">
        <v>1000</v>
      </c>
      <c r="H32" s="198">
        <v>1000</v>
      </c>
      <c r="I32" s="198">
        <v>1000</v>
      </c>
      <c r="J32" s="226"/>
      <c r="K32" s="225">
        <v>41791</v>
      </c>
      <c r="L32" s="225" t="s">
        <v>1675</v>
      </c>
      <c r="M32" s="226" t="s">
        <v>1676</v>
      </c>
      <c r="N32" s="226" t="s">
        <v>1674</v>
      </c>
      <c r="P32" s="144" t="str">
        <f t="shared" si="3"/>
        <v>323</v>
      </c>
      <c r="Q32" s="144" t="str">
        <f t="shared" si="4"/>
        <v>32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>
        <v>51</v>
      </c>
      <c r="B33" s="149" t="str">
        <f t="shared" si="1"/>
        <v>Pomoći EU</v>
      </c>
      <c r="C33" s="154">
        <v>3237</v>
      </c>
      <c r="D33" s="149" t="str">
        <f t="shared" si="0"/>
        <v>Intelektualne i osobne usluge</v>
      </c>
      <c r="E33" s="201" t="s">
        <v>959</v>
      </c>
      <c r="F33" s="149" t="str">
        <f t="shared" si="2"/>
        <v>Projekt Europskog društva za izučavanje traumatskog stresa</v>
      </c>
      <c r="G33" s="198">
        <v>5000</v>
      </c>
      <c r="H33" s="198">
        <v>6000</v>
      </c>
      <c r="I33" s="198">
        <v>6000</v>
      </c>
      <c r="J33" s="226"/>
      <c r="K33" s="225">
        <v>41791</v>
      </c>
      <c r="L33" s="225" t="s">
        <v>1675</v>
      </c>
      <c r="M33" s="226" t="s">
        <v>1676</v>
      </c>
      <c r="N33" s="226" t="s">
        <v>1674</v>
      </c>
      <c r="P33" s="144" t="str">
        <f t="shared" si="3"/>
        <v>323</v>
      </c>
      <c r="Q33" s="144" t="str">
        <f t="shared" si="4"/>
        <v>32</v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>
        <v>51</v>
      </c>
      <c r="B34" s="149" t="str">
        <f t="shared" si="1"/>
        <v>Pomoći EU</v>
      </c>
      <c r="C34" s="154">
        <v>3238</v>
      </c>
      <c r="D34" s="149" t="str">
        <f t="shared" si="0"/>
        <v>Računalne usluge</v>
      </c>
      <c r="E34" s="201" t="s">
        <v>959</v>
      </c>
      <c r="F34" s="149" t="str">
        <f t="shared" si="2"/>
        <v>Projekt Europskog društva za izučavanje traumatskog stresa</v>
      </c>
      <c r="G34" s="198">
        <v>1000</v>
      </c>
      <c r="H34" s="198">
        <v>1000</v>
      </c>
      <c r="I34" s="198">
        <v>1000</v>
      </c>
      <c r="J34" s="226"/>
      <c r="K34" s="225">
        <v>41791</v>
      </c>
      <c r="L34" s="225" t="s">
        <v>1675</v>
      </c>
      <c r="M34" s="226" t="s">
        <v>1676</v>
      </c>
      <c r="N34" s="226" t="s">
        <v>1674</v>
      </c>
      <c r="P34" s="144" t="str">
        <f t="shared" si="3"/>
        <v>323</v>
      </c>
      <c r="Q34" s="144" t="str">
        <f t="shared" si="4"/>
        <v>32</v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>
        <v>51</v>
      </c>
      <c r="B35" s="149" t="str">
        <f t="shared" si="1"/>
        <v>Pomoći EU</v>
      </c>
      <c r="C35" s="154">
        <v>3239</v>
      </c>
      <c r="D35" s="149" t="str">
        <f t="shared" si="0"/>
        <v>Ostale usluge</v>
      </c>
      <c r="E35" s="201" t="s">
        <v>959</v>
      </c>
      <c r="F35" s="149" t="str">
        <f t="shared" si="2"/>
        <v>Projekt Europskog društva za izučavanje traumatskog stresa</v>
      </c>
      <c r="G35" s="198">
        <v>2000</v>
      </c>
      <c r="H35" s="198">
        <v>2000</v>
      </c>
      <c r="I35" s="198">
        <v>2000</v>
      </c>
      <c r="J35" s="226"/>
      <c r="K35" s="225">
        <v>41791</v>
      </c>
      <c r="L35" s="225" t="s">
        <v>1675</v>
      </c>
      <c r="M35" s="226" t="s">
        <v>1676</v>
      </c>
      <c r="N35" s="226" t="s">
        <v>1674</v>
      </c>
      <c r="P35" s="144" t="str">
        <f t="shared" si="3"/>
        <v>323</v>
      </c>
      <c r="Q35" s="144" t="str">
        <f t="shared" si="4"/>
        <v>32</v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>
        <v>51</v>
      </c>
      <c r="B36" s="149" t="str">
        <f t="shared" si="1"/>
        <v>Pomoći EU</v>
      </c>
      <c r="C36" s="154">
        <v>3293</v>
      </c>
      <c r="D36" s="149" t="str">
        <f t="shared" si="0"/>
        <v>Reprezentacija</v>
      </c>
      <c r="E36" s="201" t="s">
        <v>959</v>
      </c>
      <c r="F36" s="149" t="str">
        <f t="shared" si="2"/>
        <v>Projekt Europskog društva za izučavanje traumatskog stresa</v>
      </c>
      <c r="G36" s="198">
        <v>2000</v>
      </c>
      <c r="H36" s="198">
        <v>2000</v>
      </c>
      <c r="I36" s="198">
        <v>2000</v>
      </c>
      <c r="J36" s="226"/>
      <c r="K36" s="225">
        <v>41791</v>
      </c>
      <c r="L36" s="225" t="s">
        <v>1675</v>
      </c>
      <c r="M36" s="226" t="s">
        <v>1676</v>
      </c>
      <c r="N36" s="226" t="s">
        <v>1674</v>
      </c>
      <c r="P36" s="144" t="str">
        <f t="shared" si="3"/>
        <v>329</v>
      </c>
      <c r="Q36" s="144" t="str">
        <f t="shared" si="4"/>
        <v>32</v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>
        <v>51</v>
      </c>
      <c r="B37" s="149" t="str">
        <f t="shared" si="1"/>
        <v>Pomoći EU</v>
      </c>
      <c r="C37" s="154">
        <v>3431</v>
      </c>
      <c r="D37" s="149" t="str">
        <f t="shared" si="0"/>
        <v>Bankarske usluge i usluge platnog prometa</v>
      </c>
      <c r="E37" s="201" t="s">
        <v>959</v>
      </c>
      <c r="F37" s="149" t="str">
        <f t="shared" si="2"/>
        <v>Projekt Europskog društva za izučavanje traumatskog stresa</v>
      </c>
      <c r="G37" s="198">
        <v>1000</v>
      </c>
      <c r="H37" s="198">
        <v>1000</v>
      </c>
      <c r="I37" s="198">
        <v>1000</v>
      </c>
      <c r="J37" s="226"/>
      <c r="K37" s="225">
        <v>41791</v>
      </c>
      <c r="L37" s="225" t="s">
        <v>1675</v>
      </c>
      <c r="M37" s="226" t="s">
        <v>1676</v>
      </c>
      <c r="N37" s="226" t="s">
        <v>1674</v>
      </c>
      <c r="P37" s="144" t="str">
        <f t="shared" si="3"/>
        <v>343</v>
      </c>
      <c r="Q37" s="144" t="str">
        <f t="shared" si="4"/>
        <v>34</v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>
        <v>51</v>
      </c>
      <c r="B38" s="149" t="str">
        <f t="shared" si="1"/>
        <v>Pomoći EU</v>
      </c>
      <c r="C38" s="154">
        <v>4221</v>
      </c>
      <c r="D38" s="149" t="str">
        <f t="shared" si="0"/>
        <v>Uredska oprema i namještaj</v>
      </c>
      <c r="E38" s="201" t="s">
        <v>959</v>
      </c>
      <c r="F38" s="149" t="str">
        <f t="shared" si="2"/>
        <v>Projekt Europskog društva za izučavanje traumatskog stresa</v>
      </c>
      <c r="G38" s="198">
        <v>2000</v>
      </c>
      <c r="H38" s="198">
        <v>2000</v>
      </c>
      <c r="I38" s="198">
        <v>2000</v>
      </c>
      <c r="J38" s="226"/>
      <c r="K38" s="225">
        <v>41791</v>
      </c>
      <c r="L38" s="225" t="s">
        <v>1675</v>
      </c>
      <c r="M38" s="226" t="s">
        <v>1676</v>
      </c>
      <c r="N38" s="226" t="s">
        <v>1674</v>
      </c>
      <c r="P38" s="144" t="str">
        <f t="shared" si="3"/>
        <v>422</v>
      </c>
      <c r="Q38" s="144" t="str">
        <f t="shared" si="4"/>
        <v>42</v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>
        <v>51</v>
      </c>
      <c r="B39" s="149" t="str">
        <f t="shared" si="1"/>
        <v>Pomoći EU</v>
      </c>
      <c r="C39" s="154">
        <v>4222</v>
      </c>
      <c r="D39" s="149" t="str">
        <f t="shared" si="0"/>
        <v>Komunikacijska oprema</v>
      </c>
      <c r="E39" s="201" t="s">
        <v>959</v>
      </c>
      <c r="F39" s="149" t="str">
        <f t="shared" si="2"/>
        <v>Projekt Europskog društva za izučavanje traumatskog stresa</v>
      </c>
      <c r="G39" s="198">
        <v>1000</v>
      </c>
      <c r="H39" s="198">
        <v>1000</v>
      </c>
      <c r="I39" s="198">
        <v>1000</v>
      </c>
      <c r="J39" s="226"/>
      <c r="K39" s="225">
        <v>41791</v>
      </c>
      <c r="L39" s="225" t="s">
        <v>1675</v>
      </c>
      <c r="M39" s="226" t="s">
        <v>1676</v>
      </c>
      <c r="N39" s="226" t="s">
        <v>1674</v>
      </c>
      <c r="P39" s="144" t="str">
        <f t="shared" si="3"/>
        <v>422</v>
      </c>
      <c r="Q39" s="144" t="str">
        <f t="shared" si="4"/>
        <v>42</v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>
        <v>51</v>
      </c>
      <c r="B40" s="149" t="str">
        <f t="shared" si="1"/>
        <v>Pomoći EU</v>
      </c>
      <c r="C40" s="154">
        <v>4224</v>
      </c>
      <c r="D40" s="149" t="str">
        <f t="shared" si="0"/>
        <v>Medicinska i laboratorijska oprema</v>
      </c>
      <c r="E40" s="201" t="s">
        <v>959</v>
      </c>
      <c r="F40" s="149" t="str">
        <f t="shared" si="2"/>
        <v>Projekt Europskog društva za izučavanje traumatskog stresa</v>
      </c>
      <c r="G40" s="198">
        <v>2000</v>
      </c>
      <c r="H40" s="198">
        <v>2000</v>
      </c>
      <c r="I40" s="198">
        <v>2000</v>
      </c>
      <c r="J40" s="226"/>
      <c r="K40" s="225">
        <v>41791</v>
      </c>
      <c r="L40" s="225" t="s">
        <v>1675</v>
      </c>
      <c r="M40" s="226" t="s">
        <v>1676</v>
      </c>
      <c r="N40" s="226" t="s">
        <v>1674</v>
      </c>
      <c r="P40" s="144" t="str">
        <f t="shared" si="3"/>
        <v>422</v>
      </c>
      <c r="Q40" s="144" t="str">
        <f t="shared" si="4"/>
        <v>42</v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>
        <v>51</v>
      </c>
      <c r="B41" s="149" t="str">
        <f t="shared" si="1"/>
        <v>Pomoći EU</v>
      </c>
      <c r="C41" s="154">
        <v>3111</v>
      </c>
      <c r="D41" s="149" t="str">
        <f t="shared" si="0"/>
        <v>Plaće za redovan rad</v>
      </c>
      <c r="E41" s="201" t="s">
        <v>961</v>
      </c>
      <c r="F41" s="149" t="str">
        <f t="shared" si="2"/>
        <v>ERASMUS+ projekt jačanja kapaciteta za izučavanje medicine boli u zemljama zapadnog Balkana</v>
      </c>
      <c r="G41" s="198">
        <v>69000</v>
      </c>
      <c r="H41" s="198">
        <v>0</v>
      </c>
      <c r="I41" s="198">
        <v>0</v>
      </c>
      <c r="J41" s="226"/>
      <c r="K41" s="225">
        <v>43023</v>
      </c>
      <c r="L41" s="225">
        <v>44118</v>
      </c>
      <c r="M41" s="226" t="s">
        <v>469</v>
      </c>
      <c r="N41" s="226" t="s">
        <v>1677</v>
      </c>
      <c r="P41" s="144" t="str">
        <f t="shared" si="3"/>
        <v>311</v>
      </c>
      <c r="Q41" s="144" t="str">
        <f t="shared" si="4"/>
        <v>31</v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>
        <v>51</v>
      </c>
      <c r="B42" s="149" t="str">
        <f t="shared" si="1"/>
        <v>Pomoći EU</v>
      </c>
      <c r="C42" s="154">
        <v>3121</v>
      </c>
      <c r="D42" s="149" t="str">
        <f t="shared" si="0"/>
        <v>Ostali rashodi za zaposlene</v>
      </c>
      <c r="E42" s="201" t="s">
        <v>961</v>
      </c>
      <c r="F42" s="149" t="str">
        <f t="shared" si="2"/>
        <v>ERASMUS+ projekt jačanja kapaciteta za izučavanje medicine boli u zemljama zapadnog Balkana</v>
      </c>
      <c r="G42" s="198">
        <v>3000</v>
      </c>
      <c r="H42" s="198">
        <v>0</v>
      </c>
      <c r="I42" s="198">
        <v>0</v>
      </c>
      <c r="J42" s="226"/>
      <c r="K42" s="225">
        <v>43023</v>
      </c>
      <c r="L42" s="225">
        <v>44118</v>
      </c>
      <c r="M42" s="226" t="s">
        <v>469</v>
      </c>
      <c r="N42" s="226" t="s">
        <v>1677</v>
      </c>
      <c r="P42" s="144" t="str">
        <f t="shared" si="3"/>
        <v>312</v>
      </c>
      <c r="Q42" s="144" t="str">
        <f t="shared" si="4"/>
        <v>31</v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>
        <v>51</v>
      </c>
      <c r="B43" s="149" t="str">
        <f t="shared" si="1"/>
        <v>Pomoći EU</v>
      </c>
      <c r="C43" s="154">
        <v>3132</v>
      </c>
      <c r="D43" s="149" t="str">
        <f t="shared" si="0"/>
        <v>Doprinosi za obvezno zdravstveno osiguranje</v>
      </c>
      <c r="E43" s="201" t="s">
        <v>961</v>
      </c>
      <c r="F43" s="149" t="str">
        <f t="shared" si="2"/>
        <v>ERASMUS+ projekt jačanja kapaciteta za izučavanje medicine boli u zemljama zapadnog Balkana</v>
      </c>
      <c r="G43" s="198">
        <v>12000</v>
      </c>
      <c r="H43" s="198">
        <v>0</v>
      </c>
      <c r="I43" s="198">
        <v>0</v>
      </c>
      <c r="J43" s="226"/>
      <c r="K43" s="225">
        <v>43023</v>
      </c>
      <c r="L43" s="225">
        <v>44118</v>
      </c>
      <c r="M43" s="226" t="s">
        <v>469</v>
      </c>
      <c r="N43" s="226" t="s">
        <v>1677</v>
      </c>
      <c r="P43" s="144" t="str">
        <f t="shared" si="3"/>
        <v>313</v>
      </c>
      <c r="Q43" s="144" t="str">
        <f t="shared" si="4"/>
        <v>31</v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>
        <v>51</v>
      </c>
      <c r="B44" s="149" t="str">
        <f t="shared" si="1"/>
        <v>Pomoći EU</v>
      </c>
      <c r="C44" s="154">
        <v>3211</v>
      </c>
      <c r="D44" s="149" t="str">
        <f t="shared" si="0"/>
        <v>Službena putovanja</v>
      </c>
      <c r="E44" s="201" t="s">
        <v>961</v>
      </c>
      <c r="F44" s="149" t="str">
        <f t="shared" si="2"/>
        <v>ERASMUS+ projekt jačanja kapaciteta za izučavanje medicine boli u zemljama zapadnog Balkana</v>
      </c>
      <c r="G44" s="198">
        <v>10000</v>
      </c>
      <c r="H44" s="198">
        <v>0</v>
      </c>
      <c r="I44" s="198">
        <v>0</v>
      </c>
      <c r="J44" s="226"/>
      <c r="K44" s="225">
        <v>43023</v>
      </c>
      <c r="L44" s="225">
        <v>44118</v>
      </c>
      <c r="M44" s="226" t="s">
        <v>469</v>
      </c>
      <c r="N44" s="226" t="s">
        <v>1677</v>
      </c>
      <c r="P44" s="144" t="str">
        <f t="shared" si="3"/>
        <v>321</v>
      </c>
      <c r="Q44" s="144" t="str">
        <f t="shared" si="4"/>
        <v>32</v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>
        <v>51</v>
      </c>
      <c r="B45" s="149" t="str">
        <f t="shared" si="1"/>
        <v>Pomoći EU</v>
      </c>
      <c r="C45" s="154">
        <v>3212</v>
      </c>
      <c r="D45" s="149" t="str">
        <f t="shared" si="0"/>
        <v>Naknade za prijevoz, za rad na terenu i odvojeni život</v>
      </c>
      <c r="E45" s="201" t="s">
        <v>961</v>
      </c>
      <c r="F45" s="149" t="str">
        <f t="shared" si="2"/>
        <v>ERASMUS+ projekt jačanja kapaciteta za izučavanje medicine boli u zemljama zapadnog Balkana</v>
      </c>
      <c r="G45" s="198">
        <v>2000</v>
      </c>
      <c r="H45" s="198">
        <v>0</v>
      </c>
      <c r="I45" s="198">
        <v>0</v>
      </c>
      <c r="J45" s="226"/>
      <c r="K45" s="225">
        <v>43023</v>
      </c>
      <c r="L45" s="225">
        <v>44118</v>
      </c>
      <c r="M45" s="226" t="s">
        <v>469</v>
      </c>
      <c r="N45" s="226" t="s">
        <v>1677</v>
      </c>
      <c r="P45" s="144" t="str">
        <f t="shared" si="3"/>
        <v>321</v>
      </c>
      <c r="Q45" s="144" t="str">
        <f t="shared" si="4"/>
        <v>32</v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>
        <v>51</v>
      </c>
      <c r="B46" s="149" t="str">
        <f t="shared" si="1"/>
        <v>Pomoći EU</v>
      </c>
      <c r="C46" s="154">
        <v>3213</v>
      </c>
      <c r="D46" s="149" t="str">
        <f t="shared" si="0"/>
        <v>Stručno usavršavanje zaposlenika</v>
      </c>
      <c r="E46" s="201" t="s">
        <v>961</v>
      </c>
      <c r="F46" s="149" t="str">
        <f t="shared" si="2"/>
        <v>ERASMUS+ projekt jačanja kapaciteta za izučavanje medicine boli u zemljama zapadnog Balkana</v>
      </c>
      <c r="G46" s="198">
        <v>1000</v>
      </c>
      <c r="H46" s="198">
        <v>0</v>
      </c>
      <c r="I46" s="198">
        <v>0</v>
      </c>
      <c r="J46" s="226"/>
      <c r="K46" s="225">
        <v>43023</v>
      </c>
      <c r="L46" s="225">
        <v>44118</v>
      </c>
      <c r="M46" s="226" t="s">
        <v>469</v>
      </c>
      <c r="N46" s="226" t="s">
        <v>1677</v>
      </c>
      <c r="P46" s="144" t="str">
        <f t="shared" si="3"/>
        <v>321</v>
      </c>
      <c r="Q46" s="144" t="str">
        <f t="shared" si="4"/>
        <v>32</v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>
        <v>51</v>
      </c>
      <c r="B47" s="149" t="str">
        <f t="shared" si="1"/>
        <v>Pomoći EU</v>
      </c>
      <c r="C47" s="154">
        <v>3221</v>
      </c>
      <c r="D47" s="149" t="str">
        <f t="shared" si="0"/>
        <v>Uredski materijal i ostali materijalni rashodi</v>
      </c>
      <c r="E47" s="201" t="s">
        <v>961</v>
      </c>
      <c r="F47" s="149" t="str">
        <f t="shared" si="2"/>
        <v>ERASMUS+ projekt jačanja kapaciteta za izučavanje medicine boli u zemljama zapadnog Balkana</v>
      </c>
      <c r="G47" s="198">
        <v>2000</v>
      </c>
      <c r="H47" s="198">
        <v>0</v>
      </c>
      <c r="I47" s="198">
        <v>0</v>
      </c>
      <c r="J47" s="226"/>
      <c r="K47" s="225">
        <v>43023</v>
      </c>
      <c r="L47" s="225">
        <v>44118</v>
      </c>
      <c r="M47" s="226" t="s">
        <v>469</v>
      </c>
      <c r="N47" s="226" t="s">
        <v>1677</v>
      </c>
      <c r="P47" s="144" t="str">
        <f t="shared" si="3"/>
        <v>322</v>
      </c>
      <c r="Q47" s="144" t="str">
        <f t="shared" si="4"/>
        <v>32</v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>
        <v>51</v>
      </c>
      <c r="B48" s="149" t="str">
        <f t="shared" si="1"/>
        <v>Pomoći EU</v>
      </c>
      <c r="C48" s="154">
        <v>3222</v>
      </c>
      <c r="D48" s="149" t="str">
        <f t="shared" si="0"/>
        <v>Materijal i sirovine</v>
      </c>
      <c r="E48" s="201" t="s">
        <v>961</v>
      </c>
      <c r="F48" s="149" t="str">
        <f t="shared" si="2"/>
        <v>ERASMUS+ projekt jačanja kapaciteta za izučavanje medicine boli u zemljama zapadnog Balkana</v>
      </c>
      <c r="G48" s="198">
        <v>27000</v>
      </c>
      <c r="H48" s="198">
        <v>0</v>
      </c>
      <c r="I48" s="198">
        <v>0</v>
      </c>
      <c r="J48" s="226"/>
      <c r="K48" s="225">
        <v>43023</v>
      </c>
      <c r="L48" s="225">
        <v>44118</v>
      </c>
      <c r="M48" s="226" t="s">
        <v>469</v>
      </c>
      <c r="N48" s="226" t="s">
        <v>1677</v>
      </c>
      <c r="P48" s="144" t="str">
        <f t="shared" si="3"/>
        <v>322</v>
      </c>
      <c r="Q48" s="144" t="str">
        <f t="shared" si="4"/>
        <v>32</v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>
        <v>51</v>
      </c>
      <c r="B49" s="149" t="str">
        <f t="shared" si="1"/>
        <v>Pomoći EU</v>
      </c>
      <c r="C49" s="154">
        <v>3225</v>
      </c>
      <c r="D49" s="149" t="str">
        <f t="shared" si="0"/>
        <v>Sitni inventar i auto gume</v>
      </c>
      <c r="E49" s="201" t="s">
        <v>961</v>
      </c>
      <c r="F49" s="149" t="str">
        <f t="shared" si="2"/>
        <v>ERASMUS+ projekt jačanja kapaciteta za izučavanje medicine boli u zemljama zapadnog Balkana</v>
      </c>
      <c r="G49" s="198">
        <v>4000</v>
      </c>
      <c r="H49" s="198">
        <v>0</v>
      </c>
      <c r="I49" s="198">
        <v>0</v>
      </c>
      <c r="J49" s="226"/>
      <c r="K49" s="225">
        <v>43023</v>
      </c>
      <c r="L49" s="225">
        <v>44118</v>
      </c>
      <c r="M49" s="226" t="s">
        <v>469</v>
      </c>
      <c r="N49" s="226" t="s">
        <v>1677</v>
      </c>
      <c r="P49" s="144" t="str">
        <f t="shared" si="3"/>
        <v>322</v>
      </c>
      <c r="Q49" s="144" t="str">
        <f t="shared" si="4"/>
        <v>32</v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>
        <v>51</v>
      </c>
      <c r="B50" s="149" t="str">
        <f t="shared" si="1"/>
        <v>Pomoći EU</v>
      </c>
      <c r="C50" s="154">
        <v>3231</v>
      </c>
      <c r="D50" s="149" t="str">
        <f t="shared" si="0"/>
        <v>Usluge telefona, pošte i prijevoza</v>
      </c>
      <c r="E50" s="201" t="s">
        <v>961</v>
      </c>
      <c r="F50" s="149" t="str">
        <f t="shared" si="2"/>
        <v>ERASMUS+ projekt jačanja kapaciteta za izučavanje medicine boli u zemljama zapadnog Balkana</v>
      </c>
      <c r="G50" s="198">
        <v>2000</v>
      </c>
      <c r="H50" s="198">
        <v>0</v>
      </c>
      <c r="I50" s="198">
        <v>0</v>
      </c>
      <c r="J50" s="226"/>
      <c r="K50" s="225">
        <v>43023</v>
      </c>
      <c r="L50" s="225">
        <v>44118</v>
      </c>
      <c r="M50" s="226" t="s">
        <v>469</v>
      </c>
      <c r="N50" s="226" t="s">
        <v>1677</v>
      </c>
      <c r="P50" s="144" t="str">
        <f t="shared" si="3"/>
        <v>323</v>
      </c>
      <c r="Q50" s="144" t="str">
        <f t="shared" si="4"/>
        <v>32</v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>
        <v>51</v>
      </c>
      <c r="B51" s="149" t="str">
        <f t="shared" si="1"/>
        <v>Pomoći EU</v>
      </c>
      <c r="C51" s="154">
        <v>3237</v>
      </c>
      <c r="D51" s="149" t="str">
        <f t="shared" si="0"/>
        <v>Intelektualne i osobne usluge</v>
      </c>
      <c r="E51" s="201" t="s">
        <v>961</v>
      </c>
      <c r="F51" s="149" t="str">
        <f t="shared" si="2"/>
        <v>ERASMUS+ projekt jačanja kapaciteta za izučavanje medicine boli u zemljama zapadnog Balkana</v>
      </c>
      <c r="G51" s="198">
        <v>8000</v>
      </c>
      <c r="H51" s="198">
        <v>0</v>
      </c>
      <c r="I51" s="198">
        <v>0</v>
      </c>
      <c r="J51" s="226"/>
      <c r="K51" s="225">
        <v>43023</v>
      </c>
      <c r="L51" s="225">
        <v>44118</v>
      </c>
      <c r="M51" s="226" t="s">
        <v>469</v>
      </c>
      <c r="N51" s="226" t="s">
        <v>1677</v>
      </c>
      <c r="P51" s="144" t="str">
        <f t="shared" si="3"/>
        <v>323</v>
      </c>
      <c r="Q51" s="144" t="str">
        <f t="shared" si="4"/>
        <v>32</v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>
        <v>51</v>
      </c>
      <c r="B52" s="149" t="str">
        <f t="shared" si="1"/>
        <v>Pomoći EU</v>
      </c>
      <c r="C52" s="154">
        <v>3239</v>
      </c>
      <c r="D52" s="149" t="str">
        <f t="shared" si="0"/>
        <v>Ostale usluge</v>
      </c>
      <c r="E52" s="201" t="s">
        <v>961</v>
      </c>
      <c r="F52" s="149" t="str">
        <f t="shared" si="2"/>
        <v>ERASMUS+ projekt jačanja kapaciteta za izučavanje medicine boli u zemljama zapadnog Balkana</v>
      </c>
      <c r="G52" s="198">
        <v>2000</v>
      </c>
      <c r="H52" s="198">
        <v>0</v>
      </c>
      <c r="I52" s="198">
        <v>0</v>
      </c>
      <c r="J52" s="226"/>
      <c r="K52" s="225">
        <v>43023</v>
      </c>
      <c r="L52" s="225">
        <v>44118</v>
      </c>
      <c r="M52" s="226" t="s">
        <v>469</v>
      </c>
      <c r="N52" s="226" t="s">
        <v>1677</v>
      </c>
      <c r="P52" s="144" t="str">
        <f t="shared" si="3"/>
        <v>323</v>
      </c>
      <c r="Q52" s="144" t="str">
        <f t="shared" si="4"/>
        <v>32</v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>
        <v>51</v>
      </c>
      <c r="B53" s="149" t="str">
        <f t="shared" si="1"/>
        <v>Pomoći EU</v>
      </c>
      <c r="C53" s="154">
        <v>3293</v>
      </c>
      <c r="D53" s="149" t="str">
        <f t="shared" si="0"/>
        <v>Reprezentacija</v>
      </c>
      <c r="E53" s="201" t="s">
        <v>961</v>
      </c>
      <c r="F53" s="149" t="str">
        <f t="shared" si="2"/>
        <v>ERASMUS+ projekt jačanja kapaciteta za izučavanje medicine boli u zemljama zapadnog Balkana</v>
      </c>
      <c r="G53" s="198">
        <v>1000</v>
      </c>
      <c r="H53" s="198">
        <v>0</v>
      </c>
      <c r="I53" s="198">
        <v>0</v>
      </c>
      <c r="J53" s="226"/>
      <c r="K53" s="225">
        <v>43023</v>
      </c>
      <c r="L53" s="225">
        <v>44118</v>
      </c>
      <c r="M53" s="226" t="s">
        <v>469</v>
      </c>
      <c r="N53" s="226" t="s">
        <v>1677</v>
      </c>
      <c r="P53" s="144" t="str">
        <f t="shared" si="3"/>
        <v>329</v>
      </c>
      <c r="Q53" s="144" t="str">
        <f t="shared" si="4"/>
        <v>32</v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>
        <v>51</v>
      </c>
      <c r="B54" s="149" t="str">
        <f t="shared" si="1"/>
        <v>Pomoći EU</v>
      </c>
      <c r="C54" s="154">
        <v>4221</v>
      </c>
      <c r="D54" s="149" t="str">
        <f t="shared" si="0"/>
        <v>Uredska oprema i namještaj</v>
      </c>
      <c r="E54" s="201" t="s">
        <v>961</v>
      </c>
      <c r="F54" s="149" t="str">
        <f t="shared" si="2"/>
        <v>ERASMUS+ projekt jačanja kapaciteta za izučavanje medicine boli u zemljama zapadnog Balkana</v>
      </c>
      <c r="G54" s="198">
        <v>3000</v>
      </c>
      <c r="H54" s="198">
        <v>0</v>
      </c>
      <c r="I54" s="198">
        <v>0</v>
      </c>
      <c r="J54" s="226"/>
      <c r="K54" s="225">
        <v>43023</v>
      </c>
      <c r="L54" s="225">
        <v>44118</v>
      </c>
      <c r="M54" s="226" t="s">
        <v>469</v>
      </c>
      <c r="N54" s="226" t="s">
        <v>1677</v>
      </c>
      <c r="P54" s="144" t="str">
        <f t="shared" si="3"/>
        <v>422</v>
      </c>
      <c r="Q54" s="144" t="str">
        <f t="shared" si="4"/>
        <v>42</v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>
        <v>51</v>
      </c>
      <c r="B55" s="149" t="str">
        <f t="shared" si="1"/>
        <v>Pomoći EU</v>
      </c>
      <c r="C55" s="154">
        <v>4222</v>
      </c>
      <c r="D55" s="149" t="str">
        <f t="shared" si="0"/>
        <v>Komunikacijska oprema</v>
      </c>
      <c r="E55" s="201" t="s">
        <v>961</v>
      </c>
      <c r="F55" s="149" t="str">
        <f t="shared" si="2"/>
        <v>ERASMUS+ projekt jačanja kapaciteta za izučavanje medicine boli u zemljama zapadnog Balkana</v>
      </c>
      <c r="G55" s="198">
        <v>1000</v>
      </c>
      <c r="H55" s="198">
        <v>0</v>
      </c>
      <c r="I55" s="198">
        <v>0</v>
      </c>
      <c r="J55" s="226"/>
      <c r="K55" s="225">
        <v>43023</v>
      </c>
      <c r="L55" s="225">
        <v>44118</v>
      </c>
      <c r="M55" s="226" t="s">
        <v>469</v>
      </c>
      <c r="N55" s="226" t="s">
        <v>1677</v>
      </c>
      <c r="P55" s="144" t="str">
        <f t="shared" si="3"/>
        <v>422</v>
      </c>
      <c r="Q55" s="144" t="str">
        <f t="shared" si="4"/>
        <v>42</v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>
        <v>51</v>
      </c>
      <c r="B56" s="149" t="str">
        <f t="shared" si="1"/>
        <v>Pomoći EU</v>
      </c>
      <c r="C56" s="154">
        <v>4224</v>
      </c>
      <c r="D56" s="149" t="str">
        <f t="shared" si="0"/>
        <v>Medicinska i laboratorijska oprema</v>
      </c>
      <c r="E56" s="201" t="s">
        <v>961</v>
      </c>
      <c r="F56" s="149" t="str">
        <f t="shared" si="2"/>
        <v>ERASMUS+ projekt jačanja kapaciteta za izučavanje medicine boli u zemljama zapadnog Balkana</v>
      </c>
      <c r="G56" s="198">
        <v>5000</v>
      </c>
      <c r="H56" s="198">
        <v>0</v>
      </c>
      <c r="I56" s="198">
        <v>0</v>
      </c>
      <c r="J56" s="226"/>
      <c r="K56" s="225">
        <v>43023</v>
      </c>
      <c r="L56" s="225">
        <v>44118</v>
      </c>
      <c r="M56" s="226" t="s">
        <v>469</v>
      </c>
      <c r="N56" s="226" t="s">
        <v>1677</v>
      </c>
      <c r="P56" s="144" t="str">
        <f t="shared" si="3"/>
        <v>422</v>
      </c>
      <c r="Q56" s="144" t="str">
        <f t="shared" si="4"/>
        <v>42</v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>
        <v>51</v>
      </c>
      <c r="B57" s="149" t="str">
        <f t="shared" si="1"/>
        <v>Pomoći EU</v>
      </c>
      <c r="C57" s="154">
        <v>3111</v>
      </c>
      <c r="D57" s="149" t="str">
        <f t="shared" si="0"/>
        <v>Plaće za redovan rad</v>
      </c>
      <c r="E57" s="201" t="s">
        <v>963</v>
      </c>
      <c r="F57" s="149" t="str">
        <f t="shared" si="2"/>
        <v>ERASMUS projekt proučavanja socijalnog angažmana za rješavanje izazova kroničnih bolesti</v>
      </c>
      <c r="G57" s="198">
        <v>55000</v>
      </c>
      <c r="H57" s="198">
        <v>0</v>
      </c>
      <c r="I57" s="198">
        <v>0</v>
      </c>
      <c r="J57" s="226"/>
      <c r="K57" s="225">
        <v>42857</v>
      </c>
      <c r="L57" s="225">
        <v>43953</v>
      </c>
      <c r="M57" s="226" t="s">
        <v>1678</v>
      </c>
      <c r="N57" s="226" t="s">
        <v>1679</v>
      </c>
      <c r="P57" s="144" t="str">
        <f t="shared" si="3"/>
        <v>311</v>
      </c>
      <c r="Q57" s="144" t="str">
        <f t="shared" si="4"/>
        <v>31</v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>
        <v>51</v>
      </c>
      <c r="B58" s="149" t="str">
        <f t="shared" si="1"/>
        <v>Pomoći EU</v>
      </c>
      <c r="C58" s="154">
        <v>3121</v>
      </c>
      <c r="D58" s="149" t="str">
        <f t="shared" si="0"/>
        <v>Ostali rashodi za zaposlene</v>
      </c>
      <c r="E58" s="201" t="s">
        <v>963</v>
      </c>
      <c r="F58" s="149" t="str">
        <f t="shared" si="2"/>
        <v>ERASMUS projekt proučavanja socijalnog angažmana za rješavanje izazova kroničnih bolesti</v>
      </c>
      <c r="G58" s="198">
        <v>1000</v>
      </c>
      <c r="H58" s="198">
        <v>0</v>
      </c>
      <c r="I58" s="198">
        <v>0</v>
      </c>
      <c r="J58" s="226"/>
      <c r="K58" s="225">
        <v>42857</v>
      </c>
      <c r="L58" s="225">
        <v>43953</v>
      </c>
      <c r="M58" s="226" t="s">
        <v>1678</v>
      </c>
      <c r="N58" s="226" t="s">
        <v>1679</v>
      </c>
      <c r="P58" s="144" t="str">
        <f t="shared" si="3"/>
        <v>312</v>
      </c>
      <c r="Q58" s="144" t="str">
        <f t="shared" si="4"/>
        <v>31</v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>
        <v>51</v>
      </c>
      <c r="B59" s="149" t="str">
        <f t="shared" si="1"/>
        <v>Pomoći EU</v>
      </c>
      <c r="C59" s="154">
        <v>3132</v>
      </c>
      <c r="D59" s="149" t="str">
        <f t="shared" si="0"/>
        <v>Doprinosi za obvezno zdravstveno osiguranje</v>
      </c>
      <c r="E59" s="201" t="s">
        <v>963</v>
      </c>
      <c r="F59" s="149" t="str">
        <f t="shared" si="2"/>
        <v>ERASMUS projekt proučavanja socijalnog angažmana za rješavanje izazova kroničnih bolesti</v>
      </c>
      <c r="G59" s="198">
        <v>9000</v>
      </c>
      <c r="H59" s="198">
        <v>0</v>
      </c>
      <c r="I59" s="198">
        <v>0</v>
      </c>
      <c r="J59" s="226"/>
      <c r="K59" s="225">
        <v>42857</v>
      </c>
      <c r="L59" s="225">
        <v>43953</v>
      </c>
      <c r="M59" s="226" t="s">
        <v>1678</v>
      </c>
      <c r="N59" s="226" t="s">
        <v>1679</v>
      </c>
      <c r="P59" s="144" t="str">
        <f t="shared" si="3"/>
        <v>313</v>
      </c>
      <c r="Q59" s="144" t="str">
        <f t="shared" si="4"/>
        <v>31</v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>
        <v>51</v>
      </c>
      <c r="B60" s="149" t="str">
        <f t="shared" si="1"/>
        <v>Pomoći EU</v>
      </c>
      <c r="C60" s="154">
        <v>3211</v>
      </c>
      <c r="D60" s="149" t="str">
        <f t="shared" si="0"/>
        <v>Službena putovanja</v>
      </c>
      <c r="E60" s="201" t="s">
        <v>963</v>
      </c>
      <c r="F60" s="149" t="str">
        <f t="shared" si="2"/>
        <v>ERASMUS projekt proučavanja socijalnog angažmana za rješavanje izazova kroničnih bolesti</v>
      </c>
      <c r="G60" s="198">
        <v>6500</v>
      </c>
      <c r="H60" s="198">
        <v>0</v>
      </c>
      <c r="I60" s="198">
        <v>0</v>
      </c>
      <c r="J60" s="226"/>
      <c r="K60" s="225">
        <v>42857</v>
      </c>
      <c r="L60" s="225">
        <v>43953</v>
      </c>
      <c r="M60" s="226" t="s">
        <v>1678</v>
      </c>
      <c r="N60" s="226" t="s">
        <v>1679</v>
      </c>
      <c r="P60" s="144" t="str">
        <f t="shared" si="3"/>
        <v>321</v>
      </c>
      <c r="Q60" s="144" t="str">
        <f t="shared" si="4"/>
        <v>32</v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>
        <v>51</v>
      </c>
      <c r="B61" s="149" t="str">
        <f t="shared" si="1"/>
        <v>Pomoći EU</v>
      </c>
      <c r="C61" s="154">
        <v>3212</v>
      </c>
      <c r="D61" s="149" t="str">
        <f t="shared" si="0"/>
        <v>Naknade za prijevoz, za rad na terenu i odvojeni život</v>
      </c>
      <c r="E61" s="201" t="s">
        <v>963</v>
      </c>
      <c r="F61" s="149" t="str">
        <f t="shared" si="2"/>
        <v>ERASMUS projekt proučavanja socijalnog angažmana za rješavanje izazova kroničnih bolesti</v>
      </c>
      <c r="G61" s="198">
        <v>1000</v>
      </c>
      <c r="H61" s="198">
        <v>0</v>
      </c>
      <c r="I61" s="198">
        <v>0</v>
      </c>
      <c r="J61" s="226"/>
      <c r="K61" s="225">
        <v>42857</v>
      </c>
      <c r="L61" s="225">
        <v>43953</v>
      </c>
      <c r="M61" s="226" t="s">
        <v>1678</v>
      </c>
      <c r="N61" s="226" t="s">
        <v>1679</v>
      </c>
      <c r="P61" s="144" t="str">
        <f t="shared" si="3"/>
        <v>321</v>
      </c>
      <c r="Q61" s="144" t="str">
        <f t="shared" si="4"/>
        <v>32</v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>
        <v>51</v>
      </c>
      <c r="B62" s="149" t="str">
        <f t="shared" si="1"/>
        <v>Pomoći EU</v>
      </c>
      <c r="C62" s="154">
        <v>3213</v>
      </c>
      <c r="D62" s="149" t="str">
        <f t="shared" si="0"/>
        <v>Stručno usavršavanje zaposlenika</v>
      </c>
      <c r="E62" s="201" t="s">
        <v>963</v>
      </c>
      <c r="F62" s="149" t="str">
        <f t="shared" si="2"/>
        <v>ERASMUS projekt proučavanja socijalnog angažmana za rješavanje izazova kroničnih bolesti</v>
      </c>
      <c r="G62" s="198">
        <v>2000</v>
      </c>
      <c r="H62" s="198">
        <v>0</v>
      </c>
      <c r="I62" s="198">
        <v>0</v>
      </c>
      <c r="J62" s="226"/>
      <c r="K62" s="225">
        <v>42857</v>
      </c>
      <c r="L62" s="225">
        <v>43953</v>
      </c>
      <c r="M62" s="226" t="s">
        <v>1678</v>
      </c>
      <c r="N62" s="226" t="s">
        <v>1679</v>
      </c>
      <c r="P62" s="144" t="str">
        <f t="shared" si="3"/>
        <v>321</v>
      </c>
      <c r="Q62" s="144" t="str">
        <f t="shared" si="4"/>
        <v>32</v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>
        <v>51</v>
      </c>
      <c r="B63" s="149" t="str">
        <f t="shared" si="1"/>
        <v>Pomoći EU</v>
      </c>
      <c r="C63" s="154">
        <v>3221</v>
      </c>
      <c r="D63" s="149" t="str">
        <f t="shared" si="0"/>
        <v>Uredski materijal i ostali materijalni rashodi</v>
      </c>
      <c r="E63" s="201" t="s">
        <v>963</v>
      </c>
      <c r="F63" s="149" t="str">
        <f t="shared" si="2"/>
        <v>ERASMUS projekt proučavanja socijalnog angažmana za rješavanje izazova kroničnih bolesti</v>
      </c>
      <c r="G63" s="198">
        <v>1500</v>
      </c>
      <c r="H63" s="198">
        <v>0</v>
      </c>
      <c r="I63" s="198">
        <v>0</v>
      </c>
      <c r="J63" s="226"/>
      <c r="K63" s="225">
        <v>42857</v>
      </c>
      <c r="L63" s="225">
        <v>43953</v>
      </c>
      <c r="M63" s="226" t="s">
        <v>1678</v>
      </c>
      <c r="N63" s="226" t="s">
        <v>1679</v>
      </c>
      <c r="P63" s="144" t="str">
        <f t="shared" si="3"/>
        <v>322</v>
      </c>
      <c r="Q63" s="144" t="str">
        <f t="shared" si="4"/>
        <v>32</v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>
        <v>51</v>
      </c>
      <c r="B64" s="149" t="str">
        <f t="shared" si="1"/>
        <v>Pomoći EU</v>
      </c>
      <c r="C64" s="154">
        <v>3222</v>
      </c>
      <c r="D64" s="149" t="str">
        <f t="shared" si="0"/>
        <v>Materijal i sirovine</v>
      </c>
      <c r="E64" s="201" t="s">
        <v>963</v>
      </c>
      <c r="F64" s="149" t="str">
        <f t="shared" si="2"/>
        <v>ERASMUS projekt proučavanja socijalnog angažmana za rješavanje izazova kroničnih bolesti</v>
      </c>
      <c r="G64" s="198">
        <v>8500</v>
      </c>
      <c r="H64" s="198">
        <v>0</v>
      </c>
      <c r="I64" s="198">
        <v>0</v>
      </c>
      <c r="J64" s="226"/>
      <c r="K64" s="225">
        <v>42857</v>
      </c>
      <c r="L64" s="225">
        <v>43953</v>
      </c>
      <c r="M64" s="226" t="s">
        <v>1678</v>
      </c>
      <c r="N64" s="226" t="s">
        <v>1679</v>
      </c>
      <c r="P64" s="144" t="str">
        <f t="shared" si="3"/>
        <v>322</v>
      </c>
      <c r="Q64" s="144" t="str">
        <f t="shared" si="4"/>
        <v>32</v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>
        <v>51</v>
      </c>
      <c r="B65" s="149" t="str">
        <f t="shared" si="1"/>
        <v>Pomoći EU</v>
      </c>
      <c r="C65" s="154">
        <v>3224</v>
      </c>
      <c r="D65" s="149" t="str">
        <f t="shared" si="0"/>
        <v>Materijal i dijelovi za tekuće i investicijsko održavanje</v>
      </c>
      <c r="E65" s="201" t="s">
        <v>963</v>
      </c>
      <c r="F65" s="149" t="str">
        <f t="shared" si="2"/>
        <v>ERASMUS projekt proučavanja socijalnog angažmana za rješavanje izazova kroničnih bolesti</v>
      </c>
      <c r="G65" s="198">
        <v>500</v>
      </c>
      <c r="H65" s="198">
        <v>0</v>
      </c>
      <c r="I65" s="198">
        <v>0</v>
      </c>
      <c r="J65" s="226"/>
      <c r="K65" s="225">
        <v>42857</v>
      </c>
      <c r="L65" s="225">
        <v>43953</v>
      </c>
      <c r="M65" s="226" t="s">
        <v>1678</v>
      </c>
      <c r="N65" s="226" t="s">
        <v>1679</v>
      </c>
      <c r="P65" s="144" t="str">
        <f t="shared" si="3"/>
        <v>322</v>
      </c>
      <c r="Q65" s="144" t="str">
        <f t="shared" si="4"/>
        <v>32</v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>
        <v>51</v>
      </c>
      <c r="B66" s="149" t="str">
        <f t="shared" si="1"/>
        <v>Pomoći EU</v>
      </c>
      <c r="C66" s="154">
        <v>3225</v>
      </c>
      <c r="D66" s="149" t="str">
        <f t="shared" si="0"/>
        <v>Sitni inventar i auto gume</v>
      </c>
      <c r="E66" s="201" t="s">
        <v>963</v>
      </c>
      <c r="F66" s="149" t="str">
        <f t="shared" si="2"/>
        <v>ERASMUS projekt proučavanja socijalnog angažmana za rješavanje izazova kroničnih bolesti</v>
      </c>
      <c r="G66" s="198">
        <v>2500</v>
      </c>
      <c r="H66" s="198">
        <v>0</v>
      </c>
      <c r="I66" s="198">
        <v>0</v>
      </c>
      <c r="J66" s="226"/>
      <c r="K66" s="225">
        <v>42857</v>
      </c>
      <c r="L66" s="225">
        <v>43953</v>
      </c>
      <c r="M66" s="226" t="s">
        <v>1678</v>
      </c>
      <c r="N66" s="226" t="s">
        <v>1679</v>
      </c>
      <c r="P66" s="144" t="str">
        <f t="shared" si="3"/>
        <v>322</v>
      </c>
      <c r="Q66" s="144" t="str">
        <f t="shared" si="4"/>
        <v>32</v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>
        <v>51</v>
      </c>
      <c r="B67" s="149" t="str">
        <f t="shared" si="1"/>
        <v>Pomoći EU</v>
      </c>
      <c r="C67" s="154">
        <v>3231</v>
      </c>
      <c r="D67" s="149" t="str">
        <f t="shared" ref="D67:D130" si="7">IFERROR(VLOOKUP(C67,$U$5:$W$129,2,FALSE),"")</f>
        <v>Usluge telefona, pošte i prijevoza</v>
      </c>
      <c r="E67" s="201" t="s">
        <v>963</v>
      </c>
      <c r="F67" s="149" t="str">
        <f t="shared" si="2"/>
        <v>ERASMUS projekt proučavanja socijalnog angažmana za rješavanje izazova kroničnih bolesti</v>
      </c>
      <c r="G67" s="198">
        <v>1500</v>
      </c>
      <c r="H67" s="198">
        <v>0</v>
      </c>
      <c r="I67" s="198">
        <v>0</v>
      </c>
      <c r="J67" s="226"/>
      <c r="K67" s="225">
        <v>42857</v>
      </c>
      <c r="L67" s="225">
        <v>43953</v>
      </c>
      <c r="M67" s="226" t="s">
        <v>1678</v>
      </c>
      <c r="N67" s="226" t="s">
        <v>1679</v>
      </c>
      <c r="P67" s="144" t="str">
        <f t="shared" si="3"/>
        <v>323</v>
      </c>
      <c r="Q67" s="144" t="str">
        <f t="shared" si="4"/>
        <v>32</v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>
        <v>51</v>
      </c>
      <c r="B68" s="149" t="str">
        <f t="shared" ref="B68:B131" si="8">IFERROR(VLOOKUP(A68,$R$6:$S$16,2,FALSE),"")</f>
        <v>Pomoći EU</v>
      </c>
      <c r="C68" s="154">
        <v>3232</v>
      </c>
      <c r="D68" s="149" t="str">
        <f t="shared" si="7"/>
        <v>Usluge tekućeg i investicijskog održavanja</v>
      </c>
      <c r="E68" s="201" t="s">
        <v>963</v>
      </c>
      <c r="F68" s="149" t="str">
        <f t="shared" ref="F68:F131" si="9">IFERROR(VLOOKUP(E68,$AA$6:$AB$200,2,FALSE),"")</f>
        <v>ERASMUS projekt proučavanja socijalnog angažmana za rješavanje izazova kroničnih bolesti</v>
      </c>
      <c r="G68" s="198">
        <v>7500</v>
      </c>
      <c r="H68" s="198">
        <v>0</v>
      </c>
      <c r="I68" s="198">
        <v>0</v>
      </c>
      <c r="J68" s="226"/>
      <c r="K68" s="225">
        <v>42857</v>
      </c>
      <c r="L68" s="225">
        <v>43953</v>
      </c>
      <c r="M68" s="226" t="s">
        <v>1678</v>
      </c>
      <c r="N68" s="226" t="s">
        <v>1679</v>
      </c>
      <c r="P68" s="144" t="str">
        <f t="shared" ref="P68:P131" si="10">LEFT(C68,3)</f>
        <v>323</v>
      </c>
      <c r="Q68" s="144" t="str">
        <f t="shared" ref="Q68:Q131" si="11">LEFT(C68,2)</f>
        <v>32</v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>
        <v>51</v>
      </c>
      <c r="B69" s="149" t="str">
        <f t="shared" si="8"/>
        <v>Pomoći EU</v>
      </c>
      <c r="C69" s="154">
        <v>3233</v>
      </c>
      <c r="D69" s="149" t="str">
        <f t="shared" si="7"/>
        <v>Usluge promidžbe i informiranja</v>
      </c>
      <c r="E69" s="201" t="s">
        <v>963</v>
      </c>
      <c r="F69" s="149" t="str">
        <f t="shared" si="9"/>
        <v>ERASMUS projekt proučavanja socijalnog angažmana za rješavanje izazova kroničnih bolesti</v>
      </c>
      <c r="G69" s="198">
        <v>500</v>
      </c>
      <c r="H69" s="198">
        <v>0</v>
      </c>
      <c r="I69" s="198">
        <v>0</v>
      </c>
      <c r="J69" s="226"/>
      <c r="K69" s="225">
        <v>42857</v>
      </c>
      <c r="L69" s="225">
        <v>43953</v>
      </c>
      <c r="M69" s="226" t="s">
        <v>1678</v>
      </c>
      <c r="N69" s="226" t="s">
        <v>1679</v>
      </c>
      <c r="P69" s="144" t="str">
        <f t="shared" si="10"/>
        <v>323</v>
      </c>
      <c r="Q69" s="144" t="str">
        <f t="shared" si="11"/>
        <v>32</v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>
        <v>51</v>
      </c>
      <c r="B70" s="149" t="str">
        <f t="shared" si="8"/>
        <v>Pomoći EU</v>
      </c>
      <c r="C70" s="154">
        <v>3235</v>
      </c>
      <c r="D70" s="149" t="str">
        <f t="shared" si="7"/>
        <v>Zakupnine i najamnine</v>
      </c>
      <c r="E70" s="201" t="s">
        <v>963</v>
      </c>
      <c r="F70" s="149" t="str">
        <f t="shared" si="9"/>
        <v>ERASMUS projekt proučavanja socijalnog angažmana za rješavanje izazova kroničnih bolesti</v>
      </c>
      <c r="G70" s="198">
        <v>500</v>
      </c>
      <c r="H70" s="198">
        <v>0</v>
      </c>
      <c r="I70" s="198">
        <v>0</v>
      </c>
      <c r="J70" s="226"/>
      <c r="K70" s="225">
        <v>42857</v>
      </c>
      <c r="L70" s="225">
        <v>43953</v>
      </c>
      <c r="M70" s="226" t="s">
        <v>1678</v>
      </c>
      <c r="N70" s="226" t="s">
        <v>1679</v>
      </c>
      <c r="P70" s="144" t="str">
        <f t="shared" si="10"/>
        <v>323</v>
      </c>
      <c r="Q70" s="144" t="str">
        <f t="shared" si="11"/>
        <v>32</v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>
        <v>51</v>
      </c>
      <c r="B71" s="149" t="str">
        <f t="shared" si="8"/>
        <v>Pomoći EU</v>
      </c>
      <c r="C71" s="154">
        <v>3237</v>
      </c>
      <c r="D71" s="149" t="str">
        <f t="shared" si="7"/>
        <v>Intelektualne i osobne usluge</v>
      </c>
      <c r="E71" s="201" t="s">
        <v>963</v>
      </c>
      <c r="F71" s="149" t="str">
        <f t="shared" si="9"/>
        <v>ERASMUS projekt proučavanja socijalnog angažmana za rješavanje izazova kroničnih bolesti</v>
      </c>
      <c r="G71" s="198">
        <v>6000</v>
      </c>
      <c r="H71" s="198">
        <v>0</v>
      </c>
      <c r="I71" s="198">
        <v>0</v>
      </c>
      <c r="J71" s="226"/>
      <c r="K71" s="225">
        <v>42857</v>
      </c>
      <c r="L71" s="225">
        <v>43953</v>
      </c>
      <c r="M71" s="226" t="s">
        <v>1678</v>
      </c>
      <c r="N71" s="226" t="s">
        <v>1679</v>
      </c>
      <c r="P71" s="144" t="str">
        <f t="shared" si="10"/>
        <v>323</v>
      </c>
      <c r="Q71" s="144" t="str">
        <f t="shared" si="11"/>
        <v>32</v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>
        <v>51</v>
      </c>
      <c r="B72" s="149" t="str">
        <f t="shared" si="8"/>
        <v>Pomoći EU</v>
      </c>
      <c r="C72" s="154">
        <v>3238</v>
      </c>
      <c r="D72" s="149" t="str">
        <f t="shared" si="7"/>
        <v>Računalne usluge</v>
      </c>
      <c r="E72" s="201" t="s">
        <v>963</v>
      </c>
      <c r="F72" s="149" t="str">
        <f t="shared" si="9"/>
        <v>ERASMUS projekt proučavanja socijalnog angažmana za rješavanje izazova kroničnih bolesti</v>
      </c>
      <c r="G72" s="198">
        <v>1000</v>
      </c>
      <c r="H72" s="198">
        <v>0</v>
      </c>
      <c r="I72" s="198">
        <v>0</v>
      </c>
      <c r="J72" s="226"/>
      <c r="K72" s="225">
        <v>42857</v>
      </c>
      <c r="L72" s="225">
        <v>43953</v>
      </c>
      <c r="M72" s="226" t="s">
        <v>1678</v>
      </c>
      <c r="N72" s="226" t="s">
        <v>1679</v>
      </c>
      <c r="P72" s="144" t="str">
        <f t="shared" si="10"/>
        <v>323</v>
      </c>
      <c r="Q72" s="144" t="str">
        <f t="shared" si="11"/>
        <v>32</v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>
        <v>51</v>
      </c>
      <c r="B73" s="149" t="str">
        <f t="shared" si="8"/>
        <v>Pomoći EU</v>
      </c>
      <c r="C73" s="154">
        <v>3239</v>
      </c>
      <c r="D73" s="149" t="str">
        <f t="shared" si="7"/>
        <v>Ostale usluge</v>
      </c>
      <c r="E73" s="201" t="s">
        <v>963</v>
      </c>
      <c r="F73" s="149" t="str">
        <f t="shared" si="9"/>
        <v>ERASMUS projekt proučavanja socijalnog angažmana za rješavanje izazova kroničnih bolesti</v>
      </c>
      <c r="G73" s="198">
        <v>1500</v>
      </c>
      <c r="H73" s="198">
        <v>0</v>
      </c>
      <c r="I73" s="198">
        <v>0</v>
      </c>
      <c r="J73" s="226"/>
      <c r="K73" s="225">
        <v>42857</v>
      </c>
      <c r="L73" s="225">
        <v>43953</v>
      </c>
      <c r="M73" s="226" t="s">
        <v>1678</v>
      </c>
      <c r="N73" s="226" t="s">
        <v>1679</v>
      </c>
      <c r="P73" s="144" t="str">
        <f t="shared" si="10"/>
        <v>323</v>
      </c>
      <c r="Q73" s="144" t="str">
        <f t="shared" si="11"/>
        <v>32</v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>
        <v>51</v>
      </c>
      <c r="B74" s="149" t="str">
        <f t="shared" si="8"/>
        <v>Pomoći EU</v>
      </c>
      <c r="C74" s="154">
        <v>3241</v>
      </c>
      <c r="D74" s="149" t="str">
        <f t="shared" si="7"/>
        <v>Naknade troškova osobama izvan radnog odnosa</v>
      </c>
      <c r="E74" s="201" t="s">
        <v>963</v>
      </c>
      <c r="F74" s="149" t="str">
        <f t="shared" si="9"/>
        <v>ERASMUS projekt proučavanja socijalnog angažmana za rješavanje izazova kroničnih bolesti</v>
      </c>
      <c r="G74" s="198">
        <v>3000</v>
      </c>
      <c r="H74" s="198">
        <v>0</v>
      </c>
      <c r="I74" s="198">
        <v>0</v>
      </c>
      <c r="J74" s="226"/>
      <c r="K74" s="225">
        <v>42857</v>
      </c>
      <c r="L74" s="225">
        <v>43953</v>
      </c>
      <c r="M74" s="226" t="s">
        <v>1678</v>
      </c>
      <c r="N74" s="226" t="s">
        <v>1679</v>
      </c>
      <c r="P74" s="144" t="str">
        <f t="shared" si="10"/>
        <v>324</v>
      </c>
      <c r="Q74" s="144" t="str">
        <f t="shared" si="11"/>
        <v>32</v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>
        <v>51</v>
      </c>
      <c r="B75" s="149" t="str">
        <f t="shared" si="8"/>
        <v>Pomoći EU</v>
      </c>
      <c r="C75" s="154">
        <v>3293</v>
      </c>
      <c r="D75" s="149" t="str">
        <f t="shared" si="7"/>
        <v>Reprezentacija</v>
      </c>
      <c r="E75" s="201" t="s">
        <v>963</v>
      </c>
      <c r="F75" s="149" t="str">
        <f t="shared" si="9"/>
        <v>ERASMUS projekt proučavanja socijalnog angažmana za rješavanje izazova kroničnih bolesti</v>
      </c>
      <c r="G75" s="198">
        <v>15000</v>
      </c>
      <c r="H75" s="198">
        <v>0</v>
      </c>
      <c r="I75" s="198">
        <v>0</v>
      </c>
      <c r="J75" s="226"/>
      <c r="K75" s="225">
        <v>42857</v>
      </c>
      <c r="L75" s="225">
        <v>43953</v>
      </c>
      <c r="M75" s="226" t="s">
        <v>1678</v>
      </c>
      <c r="N75" s="226" t="s">
        <v>1679</v>
      </c>
      <c r="P75" s="144" t="str">
        <f t="shared" si="10"/>
        <v>329</v>
      </c>
      <c r="Q75" s="144" t="str">
        <f t="shared" si="11"/>
        <v>32</v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>
        <v>51</v>
      </c>
      <c r="B76" s="149" t="str">
        <f t="shared" si="8"/>
        <v>Pomoći EU</v>
      </c>
      <c r="C76" s="154">
        <v>3431</v>
      </c>
      <c r="D76" s="149" t="str">
        <f t="shared" si="7"/>
        <v>Bankarske usluge i usluge platnog prometa</v>
      </c>
      <c r="E76" s="201" t="s">
        <v>963</v>
      </c>
      <c r="F76" s="149" t="str">
        <f t="shared" si="9"/>
        <v>ERASMUS projekt proučavanja socijalnog angažmana za rješavanje izazova kroničnih bolesti</v>
      </c>
      <c r="G76" s="198">
        <v>500</v>
      </c>
      <c r="H76" s="198">
        <v>0</v>
      </c>
      <c r="I76" s="198">
        <v>0</v>
      </c>
      <c r="J76" s="226"/>
      <c r="K76" s="225">
        <v>42857</v>
      </c>
      <c r="L76" s="225">
        <v>43953</v>
      </c>
      <c r="M76" s="226" t="s">
        <v>1678</v>
      </c>
      <c r="N76" s="226" t="s">
        <v>1679</v>
      </c>
      <c r="P76" s="144" t="str">
        <f t="shared" si="10"/>
        <v>343</v>
      </c>
      <c r="Q76" s="144" t="str">
        <f t="shared" si="11"/>
        <v>34</v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>
        <v>51</v>
      </c>
      <c r="B77" s="149" t="str">
        <f t="shared" si="8"/>
        <v>Pomoći EU</v>
      </c>
      <c r="C77" s="154">
        <v>4221</v>
      </c>
      <c r="D77" s="149" t="str">
        <f t="shared" si="7"/>
        <v>Uredska oprema i namještaj</v>
      </c>
      <c r="E77" s="201" t="s">
        <v>963</v>
      </c>
      <c r="F77" s="149" t="str">
        <f t="shared" si="9"/>
        <v>ERASMUS projekt proučavanja socijalnog angažmana za rješavanje izazova kroničnih bolesti</v>
      </c>
      <c r="G77" s="198">
        <v>3000</v>
      </c>
      <c r="H77" s="198">
        <v>0</v>
      </c>
      <c r="I77" s="198">
        <v>0</v>
      </c>
      <c r="J77" s="226"/>
      <c r="K77" s="225">
        <v>42857</v>
      </c>
      <c r="L77" s="225">
        <v>43953</v>
      </c>
      <c r="M77" s="226" t="s">
        <v>1678</v>
      </c>
      <c r="N77" s="226" t="s">
        <v>1679</v>
      </c>
      <c r="P77" s="144" t="str">
        <f t="shared" si="10"/>
        <v>422</v>
      </c>
      <c r="Q77" s="144" t="str">
        <f t="shared" si="11"/>
        <v>42</v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>
        <v>51</v>
      </c>
      <c r="B78" s="149" t="str">
        <f t="shared" si="8"/>
        <v>Pomoći EU</v>
      </c>
      <c r="C78" s="154">
        <v>4222</v>
      </c>
      <c r="D78" s="149" t="str">
        <f t="shared" si="7"/>
        <v>Komunikacijska oprema</v>
      </c>
      <c r="E78" s="201" t="s">
        <v>963</v>
      </c>
      <c r="F78" s="149" t="str">
        <f t="shared" si="9"/>
        <v>ERASMUS projekt proučavanja socijalnog angažmana za rješavanje izazova kroničnih bolesti</v>
      </c>
      <c r="G78" s="198">
        <v>27500</v>
      </c>
      <c r="H78" s="198">
        <v>0</v>
      </c>
      <c r="I78" s="198">
        <v>0</v>
      </c>
      <c r="J78" s="226"/>
      <c r="K78" s="225">
        <v>42857</v>
      </c>
      <c r="L78" s="225">
        <v>43953</v>
      </c>
      <c r="M78" s="226" t="s">
        <v>1678</v>
      </c>
      <c r="N78" s="226" t="s">
        <v>1679</v>
      </c>
      <c r="P78" s="144" t="str">
        <f t="shared" si="10"/>
        <v>422</v>
      </c>
      <c r="Q78" s="144" t="str">
        <f t="shared" si="11"/>
        <v>42</v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>
        <v>51</v>
      </c>
      <c r="B79" s="149" t="str">
        <f t="shared" si="8"/>
        <v>Pomoći EU</v>
      </c>
      <c r="C79" s="154">
        <v>4224</v>
      </c>
      <c r="D79" s="149" t="str">
        <f t="shared" si="7"/>
        <v>Medicinska i laboratorijska oprema</v>
      </c>
      <c r="E79" s="201" t="s">
        <v>963</v>
      </c>
      <c r="F79" s="149" t="str">
        <f t="shared" si="9"/>
        <v>ERASMUS projekt proučavanja socijalnog angažmana za rješavanje izazova kroničnih bolesti</v>
      </c>
      <c r="G79" s="198">
        <v>2500</v>
      </c>
      <c r="H79" s="198">
        <v>0</v>
      </c>
      <c r="I79" s="198">
        <v>0</v>
      </c>
      <c r="J79" s="226"/>
      <c r="K79" s="225">
        <v>42857</v>
      </c>
      <c r="L79" s="225">
        <v>43953</v>
      </c>
      <c r="M79" s="226" t="s">
        <v>1678</v>
      </c>
      <c r="N79" s="226" t="s">
        <v>1679</v>
      </c>
      <c r="P79" s="144" t="str">
        <f t="shared" si="10"/>
        <v>422</v>
      </c>
      <c r="Q79" s="144" t="str">
        <f t="shared" si="11"/>
        <v>42</v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>
        <v>51</v>
      </c>
      <c r="B80" s="149" t="str">
        <f t="shared" si="8"/>
        <v>Pomoći EU</v>
      </c>
      <c r="C80" s="154">
        <v>3111</v>
      </c>
      <c r="D80" s="149" t="str">
        <f t="shared" si="7"/>
        <v>Plaće za redovan rad</v>
      </c>
      <c r="E80" s="201" t="s">
        <v>965</v>
      </c>
      <c r="F80" s="149" t="str">
        <f t="shared" si="9"/>
        <v>H2020 PIXEL Učinkovito korištenje resursa, održivi razvoj i zeleni rast luka i okolnih gradova</v>
      </c>
      <c r="G80" s="198">
        <v>700000</v>
      </c>
      <c r="H80" s="198">
        <v>350000</v>
      </c>
      <c r="I80" s="198">
        <v>0</v>
      </c>
      <c r="J80" s="226"/>
      <c r="K80" s="225">
        <v>43221</v>
      </c>
      <c r="L80" s="225">
        <v>44316</v>
      </c>
      <c r="M80" s="226" t="s">
        <v>1680</v>
      </c>
      <c r="N80" s="226" t="s">
        <v>1681</v>
      </c>
      <c r="P80" s="144" t="str">
        <f t="shared" si="10"/>
        <v>311</v>
      </c>
      <c r="Q80" s="144" t="str">
        <f t="shared" si="11"/>
        <v>31</v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>
        <v>51</v>
      </c>
      <c r="B81" s="149" t="str">
        <f t="shared" si="8"/>
        <v>Pomoći EU</v>
      </c>
      <c r="C81" s="154">
        <v>3121</v>
      </c>
      <c r="D81" s="149" t="str">
        <f t="shared" si="7"/>
        <v>Ostali rashodi za zaposlene</v>
      </c>
      <c r="E81" s="201" t="s">
        <v>965</v>
      </c>
      <c r="F81" s="149" t="str">
        <f t="shared" si="9"/>
        <v>H2020 PIXEL Učinkovito korištenje resursa, održivi razvoj i zeleni rast luka i okolnih gradova</v>
      </c>
      <c r="G81" s="198">
        <v>35000</v>
      </c>
      <c r="H81" s="198">
        <v>17500</v>
      </c>
      <c r="I81" s="198">
        <v>0</v>
      </c>
      <c r="J81" s="226"/>
      <c r="K81" s="225">
        <v>43221</v>
      </c>
      <c r="L81" s="225">
        <v>44316</v>
      </c>
      <c r="M81" s="226" t="s">
        <v>1680</v>
      </c>
      <c r="N81" s="226" t="s">
        <v>1681</v>
      </c>
      <c r="P81" s="144" t="str">
        <f t="shared" si="10"/>
        <v>312</v>
      </c>
      <c r="Q81" s="144" t="str">
        <f t="shared" si="11"/>
        <v>31</v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>
        <v>51</v>
      </c>
      <c r="B82" s="149" t="str">
        <f t="shared" si="8"/>
        <v>Pomoći EU</v>
      </c>
      <c r="C82" s="154">
        <v>3132</v>
      </c>
      <c r="D82" s="149" t="str">
        <f t="shared" si="7"/>
        <v>Doprinosi za obvezno zdravstveno osiguranje</v>
      </c>
      <c r="E82" s="201" t="s">
        <v>965</v>
      </c>
      <c r="F82" s="149" t="str">
        <f t="shared" si="9"/>
        <v>H2020 PIXEL Učinkovito korištenje resursa, održivi razvoj i zeleni rast luka i okolnih gradova</v>
      </c>
      <c r="G82" s="198">
        <v>110000</v>
      </c>
      <c r="H82" s="198">
        <v>55000</v>
      </c>
      <c r="I82" s="198">
        <v>0</v>
      </c>
      <c r="J82" s="226"/>
      <c r="K82" s="225">
        <v>43221</v>
      </c>
      <c r="L82" s="225">
        <v>44316</v>
      </c>
      <c r="M82" s="226" t="s">
        <v>1680</v>
      </c>
      <c r="N82" s="226" t="s">
        <v>1681</v>
      </c>
      <c r="P82" s="144" t="str">
        <f t="shared" si="10"/>
        <v>313</v>
      </c>
      <c r="Q82" s="144" t="str">
        <f t="shared" si="11"/>
        <v>31</v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>
        <v>51</v>
      </c>
      <c r="B83" s="149" t="str">
        <f t="shared" si="8"/>
        <v>Pomoći EU</v>
      </c>
      <c r="C83" s="154">
        <v>3211</v>
      </c>
      <c r="D83" s="149" t="str">
        <f t="shared" si="7"/>
        <v>Službena putovanja</v>
      </c>
      <c r="E83" s="201" t="s">
        <v>965</v>
      </c>
      <c r="F83" s="149" t="str">
        <f t="shared" si="9"/>
        <v>H2020 PIXEL Učinkovito korištenje resursa, održivi razvoj i zeleni rast luka i okolnih gradova</v>
      </c>
      <c r="G83" s="198">
        <v>80000</v>
      </c>
      <c r="H83" s="198">
        <v>40000</v>
      </c>
      <c r="I83" s="198">
        <v>0</v>
      </c>
      <c r="J83" s="226"/>
      <c r="K83" s="225">
        <v>43221</v>
      </c>
      <c r="L83" s="225">
        <v>44316</v>
      </c>
      <c r="M83" s="226" t="s">
        <v>1680</v>
      </c>
      <c r="N83" s="226" t="s">
        <v>1681</v>
      </c>
      <c r="P83" s="144" t="str">
        <f t="shared" si="10"/>
        <v>321</v>
      </c>
      <c r="Q83" s="144" t="str">
        <f t="shared" si="11"/>
        <v>32</v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>
        <v>51</v>
      </c>
      <c r="B84" s="149" t="str">
        <f t="shared" si="8"/>
        <v>Pomoći EU</v>
      </c>
      <c r="C84" s="154">
        <v>3212</v>
      </c>
      <c r="D84" s="149" t="str">
        <f t="shared" si="7"/>
        <v>Naknade za prijevoz, za rad na terenu i odvojeni život</v>
      </c>
      <c r="E84" s="201" t="s">
        <v>965</v>
      </c>
      <c r="F84" s="149" t="str">
        <f t="shared" si="9"/>
        <v>H2020 PIXEL Učinkovito korištenje resursa, održivi razvoj i zeleni rast luka i okolnih gradova</v>
      </c>
      <c r="G84" s="198">
        <v>20000</v>
      </c>
      <c r="H84" s="198">
        <v>10000</v>
      </c>
      <c r="I84" s="198">
        <v>0</v>
      </c>
      <c r="J84" s="226"/>
      <c r="K84" s="225">
        <v>43221</v>
      </c>
      <c r="L84" s="225">
        <v>44316</v>
      </c>
      <c r="M84" s="226" t="s">
        <v>1680</v>
      </c>
      <c r="N84" s="226" t="s">
        <v>1681</v>
      </c>
      <c r="P84" s="144" t="str">
        <f t="shared" si="10"/>
        <v>321</v>
      </c>
      <c r="Q84" s="144" t="str">
        <f t="shared" si="11"/>
        <v>32</v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>
        <v>51</v>
      </c>
      <c r="B85" s="149" t="str">
        <f t="shared" si="8"/>
        <v>Pomoći EU</v>
      </c>
      <c r="C85" s="154">
        <v>3213</v>
      </c>
      <c r="D85" s="149" t="str">
        <f t="shared" si="7"/>
        <v>Stručno usavršavanje zaposlenika</v>
      </c>
      <c r="E85" s="201" t="s">
        <v>965</v>
      </c>
      <c r="F85" s="149" t="str">
        <f t="shared" si="9"/>
        <v>H2020 PIXEL Učinkovito korištenje resursa, održivi razvoj i zeleni rast luka i okolnih gradova</v>
      </c>
      <c r="G85" s="198">
        <v>19000</v>
      </c>
      <c r="H85" s="198">
        <v>9500</v>
      </c>
      <c r="I85" s="198">
        <v>0</v>
      </c>
      <c r="J85" s="226"/>
      <c r="K85" s="225">
        <v>43221</v>
      </c>
      <c r="L85" s="225">
        <v>44316</v>
      </c>
      <c r="M85" s="226" t="s">
        <v>1680</v>
      </c>
      <c r="N85" s="226" t="s">
        <v>1681</v>
      </c>
      <c r="P85" s="144" t="str">
        <f t="shared" si="10"/>
        <v>321</v>
      </c>
      <c r="Q85" s="144" t="str">
        <f t="shared" si="11"/>
        <v>32</v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>
        <v>51</v>
      </c>
      <c r="B86" s="149" t="str">
        <f t="shared" si="8"/>
        <v>Pomoći EU</v>
      </c>
      <c r="C86" s="154">
        <v>3221</v>
      </c>
      <c r="D86" s="149" t="str">
        <f t="shared" si="7"/>
        <v>Uredski materijal i ostali materijalni rashodi</v>
      </c>
      <c r="E86" s="201" t="s">
        <v>965</v>
      </c>
      <c r="F86" s="149" t="str">
        <f t="shared" si="9"/>
        <v>H2020 PIXEL Učinkovito korištenje resursa, održivi razvoj i zeleni rast luka i okolnih gradova</v>
      </c>
      <c r="G86" s="198">
        <v>15000</v>
      </c>
      <c r="H86" s="198">
        <v>7500</v>
      </c>
      <c r="I86" s="198">
        <v>0</v>
      </c>
      <c r="J86" s="226"/>
      <c r="K86" s="225">
        <v>43221</v>
      </c>
      <c r="L86" s="225">
        <v>44316</v>
      </c>
      <c r="M86" s="226" t="s">
        <v>1680</v>
      </c>
      <c r="N86" s="226" t="s">
        <v>1681</v>
      </c>
      <c r="P86" s="144" t="str">
        <f t="shared" si="10"/>
        <v>322</v>
      </c>
      <c r="Q86" s="144" t="str">
        <f t="shared" si="11"/>
        <v>32</v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>
        <v>51</v>
      </c>
      <c r="B87" s="149" t="str">
        <f t="shared" si="8"/>
        <v>Pomoći EU</v>
      </c>
      <c r="C87" s="154">
        <v>3222</v>
      </c>
      <c r="D87" s="149" t="str">
        <f t="shared" si="7"/>
        <v>Materijal i sirovine</v>
      </c>
      <c r="E87" s="201" t="s">
        <v>965</v>
      </c>
      <c r="F87" s="149" t="str">
        <f t="shared" si="9"/>
        <v>H2020 PIXEL Učinkovito korištenje resursa, održivi razvoj i zeleni rast luka i okolnih gradova</v>
      </c>
      <c r="G87" s="198">
        <v>100000</v>
      </c>
      <c r="H87" s="198">
        <v>50000</v>
      </c>
      <c r="I87" s="198">
        <v>0</v>
      </c>
      <c r="J87" s="226"/>
      <c r="K87" s="225">
        <v>43221</v>
      </c>
      <c r="L87" s="225">
        <v>44316</v>
      </c>
      <c r="M87" s="226" t="s">
        <v>1680</v>
      </c>
      <c r="N87" s="226" t="s">
        <v>1681</v>
      </c>
      <c r="P87" s="144" t="str">
        <f t="shared" si="10"/>
        <v>322</v>
      </c>
      <c r="Q87" s="144" t="str">
        <f t="shared" si="11"/>
        <v>32</v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>
        <v>51</v>
      </c>
      <c r="B88" s="149" t="str">
        <f t="shared" si="8"/>
        <v>Pomoći EU</v>
      </c>
      <c r="C88" s="154">
        <v>3224</v>
      </c>
      <c r="D88" s="149" t="str">
        <f t="shared" si="7"/>
        <v>Materijal i dijelovi za tekuće i investicijsko održavanje</v>
      </c>
      <c r="E88" s="201" t="s">
        <v>965</v>
      </c>
      <c r="F88" s="149" t="str">
        <f t="shared" si="9"/>
        <v>H2020 PIXEL Učinkovito korištenje resursa, održivi razvoj i zeleni rast luka i okolnih gradova</v>
      </c>
      <c r="G88" s="198">
        <v>4000</v>
      </c>
      <c r="H88" s="198">
        <v>2000</v>
      </c>
      <c r="I88" s="198">
        <v>0</v>
      </c>
      <c r="J88" s="226"/>
      <c r="K88" s="225">
        <v>43221</v>
      </c>
      <c r="L88" s="225">
        <v>44316</v>
      </c>
      <c r="M88" s="226" t="s">
        <v>1680</v>
      </c>
      <c r="N88" s="226" t="s">
        <v>1681</v>
      </c>
      <c r="P88" s="144" t="str">
        <f t="shared" si="10"/>
        <v>322</v>
      </c>
      <c r="Q88" s="144" t="str">
        <f t="shared" si="11"/>
        <v>32</v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>
        <v>51</v>
      </c>
      <c r="B89" s="149" t="str">
        <f t="shared" si="8"/>
        <v>Pomoći EU</v>
      </c>
      <c r="C89" s="154">
        <v>3225</v>
      </c>
      <c r="D89" s="149" t="str">
        <f t="shared" si="7"/>
        <v>Sitni inventar i auto gume</v>
      </c>
      <c r="E89" s="201" t="s">
        <v>965</v>
      </c>
      <c r="F89" s="149" t="str">
        <f t="shared" si="9"/>
        <v>H2020 PIXEL Učinkovito korištenje resursa, održivi razvoj i zeleni rast luka i okolnih gradova</v>
      </c>
      <c r="G89" s="198">
        <v>40000</v>
      </c>
      <c r="H89" s="198">
        <v>20000</v>
      </c>
      <c r="I89" s="198">
        <v>0</v>
      </c>
      <c r="J89" s="226"/>
      <c r="K89" s="225">
        <v>43221</v>
      </c>
      <c r="L89" s="225">
        <v>44316</v>
      </c>
      <c r="M89" s="226" t="s">
        <v>1680</v>
      </c>
      <c r="N89" s="226" t="s">
        <v>1681</v>
      </c>
      <c r="P89" s="144" t="str">
        <f t="shared" si="10"/>
        <v>322</v>
      </c>
      <c r="Q89" s="144" t="str">
        <f t="shared" si="11"/>
        <v>32</v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>
        <v>51</v>
      </c>
      <c r="B90" s="149" t="str">
        <f t="shared" si="8"/>
        <v>Pomoći EU</v>
      </c>
      <c r="C90" s="154">
        <v>3231</v>
      </c>
      <c r="D90" s="149" t="str">
        <f t="shared" si="7"/>
        <v>Usluge telefona, pošte i prijevoza</v>
      </c>
      <c r="E90" s="201" t="s">
        <v>965</v>
      </c>
      <c r="F90" s="149" t="str">
        <f t="shared" si="9"/>
        <v>H2020 PIXEL Učinkovito korištenje resursa, održivi razvoj i zeleni rast luka i okolnih gradova</v>
      </c>
      <c r="G90" s="198">
        <v>25000</v>
      </c>
      <c r="H90" s="198">
        <v>12500</v>
      </c>
      <c r="I90" s="198">
        <v>0</v>
      </c>
      <c r="J90" s="226"/>
      <c r="K90" s="225">
        <v>43221</v>
      </c>
      <c r="L90" s="225">
        <v>44316</v>
      </c>
      <c r="M90" s="226" t="s">
        <v>1680</v>
      </c>
      <c r="N90" s="226" t="s">
        <v>1681</v>
      </c>
      <c r="P90" s="144" t="str">
        <f t="shared" si="10"/>
        <v>323</v>
      </c>
      <c r="Q90" s="144" t="str">
        <f t="shared" si="11"/>
        <v>32</v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>
        <v>51</v>
      </c>
      <c r="B91" s="149" t="str">
        <f t="shared" si="8"/>
        <v>Pomoći EU</v>
      </c>
      <c r="C91" s="154">
        <v>3233</v>
      </c>
      <c r="D91" s="149" t="str">
        <f t="shared" si="7"/>
        <v>Usluge promidžbe i informiranja</v>
      </c>
      <c r="E91" s="201" t="s">
        <v>965</v>
      </c>
      <c r="F91" s="149" t="str">
        <f t="shared" si="9"/>
        <v>H2020 PIXEL Učinkovito korištenje resursa, održivi razvoj i zeleni rast luka i okolnih gradova</v>
      </c>
      <c r="G91" s="198">
        <v>5000</v>
      </c>
      <c r="H91" s="198">
        <v>2500</v>
      </c>
      <c r="I91" s="198">
        <v>0</v>
      </c>
      <c r="J91" s="226"/>
      <c r="K91" s="225">
        <v>43221</v>
      </c>
      <c r="L91" s="225">
        <v>44316</v>
      </c>
      <c r="M91" s="226" t="s">
        <v>1680</v>
      </c>
      <c r="N91" s="226" t="s">
        <v>1681</v>
      </c>
      <c r="P91" s="144" t="str">
        <f t="shared" si="10"/>
        <v>323</v>
      </c>
      <c r="Q91" s="144" t="str">
        <f t="shared" si="11"/>
        <v>32</v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>
        <v>51</v>
      </c>
      <c r="B92" s="149" t="str">
        <f t="shared" si="8"/>
        <v>Pomoći EU</v>
      </c>
      <c r="C92" s="154">
        <v>3235</v>
      </c>
      <c r="D92" s="149" t="str">
        <f t="shared" si="7"/>
        <v>Zakupnine i najamnine</v>
      </c>
      <c r="E92" s="201" t="s">
        <v>965</v>
      </c>
      <c r="F92" s="149" t="str">
        <f t="shared" si="9"/>
        <v>H2020 PIXEL Učinkovito korištenje resursa, održivi razvoj i zeleni rast luka i okolnih gradova</v>
      </c>
      <c r="G92" s="198">
        <v>7000</v>
      </c>
      <c r="H92" s="198">
        <v>3500</v>
      </c>
      <c r="I92" s="198">
        <v>0</v>
      </c>
      <c r="J92" s="226"/>
      <c r="K92" s="225">
        <v>43221</v>
      </c>
      <c r="L92" s="225">
        <v>44316</v>
      </c>
      <c r="M92" s="226" t="s">
        <v>1680</v>
      </c>
      <c r="N92" s="226" t="s">
        <v>1681</v>
      </c>
      <c r="P92" s="144" t="str">
        <f t="shared" si="10"/>
        <v>323</v>
      </c>
      <c r="Q92" s="144" t="str">
        <f t="shared" si="11"/>
        <v>32</v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>
        <v>51</v>
      </c>
      <c r="B93" s="149" t="str">
        <f t="shared" si="8"/>
        <v>Pomoći EU</v>
      </c>
      <c r="C93" s="154">
        <v>3237</v>
      </c>
      <c r="D93" s="149" t="str">
        <f t="shared" si="7"/>
        <v>Intelektualne i osobne usluge</v>
      </c>
      <c r="E93" s="201" t="s">
        <v>965</v>
      </c>
      <c r="F93" s="149" t="str">
        <f t="shared" si="9"/>
        <v>H2020 PIXEL Učinkovito korištenje resursa, održivi razvoj i zeleni rast luka i okolnih gradova</v>
      </c>
      <c r="G93" s="198">
        <v>140000</v>
      </c>
      <c r="H93" s="198">
        <v>70000</v>
      </c>
      <c r="I93" s="198">
        <v>0</v>
      </c>
      <c r="J93" s="226"/>
      <c r="K93" s="225">
        <v>43221</v>
      </c>
      <c r="L93" s="225">
        <v>44316</v>
      </c>
      <c r="M93" s="226" t="s">
        <v>1680</v>
      </c>
      <c r="N93" s="226" t="s">
        <v>1681</v>
      </c>
      <c r="P93" s="144" t="str">
        <f t="shared" si="10"/>
        <v>323</v>
      </c>
      <c r="Q93" s="144" t="str">
        <f t="shared" si="11"/>
        <v>32</v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>
        <v>51</v>
      </c>
      <c r="B94" s="149" t="str">
        <f t="shared" si="8"/>
        <v>Pomoći EU</v>
      </c>
      <c r="C94" s="154">
        <v>3238</v>
      </c>
      <c r="D94" s="149" t="str">
        <f t="shared" si="7"/>
        <v>Računalne usluge</v>
      </c>
      <c r="E94" s="201" t="s">
        <v>965</v>
      </c>
      <c r="F94" s="149" t="str">
        <f t="shared" si="9"/>
        <v>H2020 PIXEL Učinkovito korištenje resursa, održivi razvoj i zeleni rast luka i okolnih gradova</v>
      </c>
      <c r="G94" s="198">
        <v>5000</v>
      </c>
      <c r="H94" s="198">
        <v>2500</v>
      </c>
      <c r="I94" s="198">
        <v>0</v>
      </c>
      <c r="J94" s="226"/>
      <c r="K94" s="225">
        <v>43221</v>
      </c>
      <c r="L94" s="225">
        <v>44316</v>
      </c>
      <c r="M94" s="226" t="s">
        <v>1680</v>
      </c>
      <c r="N94" s="226" t="s">
        <v>1681</v>
      </c>
      <c r="P94" s="144" t="str">
        <f t="shared" si="10"/>
        <v>323</v>
      </c>
      <c r="Q94" s="144" t="str">
        <f t="shared" si="11"/>
        <v>32</v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>
        <v>51</v>
      </c>
      <c r="B95" s="149" t="str">
        <f t="shared" si="8"/>
        <v>Pomoći EU</v>
      </c>
      <c r="C95" s="154">
        <v>3239</v>
      </c>
      <c r="D95" s="149" t="str">
        <f t="shared" si="7"/>
        <v>Ostale usluge</v>
      </c>
      <c r="E95" s="201" t="s">
        <v>965</v>
      </c>
      <c r="F95" s="149" t="str">
        <f t="shared" si="9"/>
        <v>H2020 PIXEL Učinkovito korištenje resursa, održivi razvoj i zeleni rast luka i okolnih gradova</v>
      </c>
      <c r="G95" s="198">
        <v>38000</v>
      </c>
      <c r="H95" s="198">
        <v>19000</v>
      </c>
      <c r="I95" s="198">
        <v>0</v>
      </c>
      <c r="J95" s="226"/>
      <c r="K95" s="225">
        <v>43221</v>
      </c>
      <c r="L95" s="225">
        <v>44316</v>
      </c>
      <c r="M95" s="226" t="s">
        <v>1680</v>
      </c>
      <c r="N95" s="226" t="s">
        <v>1681</v>
      </c>
      <c r="P95" s="144" t="str">
        <f t="shared" si="10"/>
        <v>323</v>
      </c>
      <c r="Q95" s="144" t="str">
        <f t="shared" si="11"/>
        <v>32</v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>
        <v>51</v>
      </c>
      <c r="B96" s="149" t="str">
        <f t="shared" si="8"/>
        <v>Pomoći EU</v>
      </c>
      <c r="C96" s="154">
        <v>3241</v>
      </c>
      <c r="D96" s="149" t="str">
        <f t="shared" si="7"/>
        <v>Naknade troškova osobama izvan radnog odnosa</v>
      </c>
      <c r="E96" s="201" t="s">
        <v>965</v>
      </c>
      <c r="F96" s="149" t="str">
        <f t="shared" si="9"/>
        <v>H2020 PIXEL Učinkovito korištenje resursa, održivi razvoj i zeleni rast luka i okolnih gradova</v>
      </c>
      <c r="G96" s="198">
        <v>15000</v>
      </c>
      <c r="H96" s="198">
        <v>7500</v>
      </c>
      <c r="I96" s="198">
        <v>0</v>
      </c>
      <c r="J96" s="226"/>
      <c r="K96" s="225">
        <v>43221</v>
      </c>
      <c r="L96" s="225">
        <v>44316</v>
      </c>
      <c r="M96" s="226" t="s">
        <v>1680</v>
      </c>
      <c r="N96" s="226" t="s">
        <v>1681</v>
      </c>
      <c r="P96" s="144" t="str">
        <f t="shared" si="10"/>
        <v>324</v>
      </c>
      <c r="Q96" s="144" t="str">
        <f t="shared" si="11"/>
        <v>32</v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>
        <v>51</v>
      </c>
      <c r="B97" s="149" t="str">
        <f t="shared" si="8"/>
        <v>Pomoći EU</v>
      </c>
      <c r="C97" s="154">
        <v>3293</v>
      </c>
      <c r="D97" s="149" t="str">
        <f t="shared" si="7"/>
        <v>Reprezentacija</v>
      </c>
      <c r="E97" s="201" t="s">
        <v>965</v>
      </c>
      <c r="F97" s="149" t="str">
        <f t="shared" si="9"/>
        <v>H2020 PIXEL Učinkovito korištenje resursa, održivi razvoj i zeleni rast luka i okolnih gradova</v>
      </c>
      <c r="G97" s="198">
        <v>15000</v>
      </c>
      <c r="H97" s="198">
        <v>7500</v>
      </c>
      <c r="I97" s="198">
        <v>0</v>
      </c>
      <c r="J97" s="226"/>
      <c r="K97" s="225">
        <v>43221</v>
      </c>
      <c r="L97" s="225">
        <v>44316</v>
      </c>
      <c r="M97" s="226" t="s">
        <v>1680</v>
      </c>
      <c r="N97" s="226" t="s">
        <v>1681</v>
      </c>
      <c r="P97" s="144" t="str">
        <f t="shared" si="10"/>
        <v>329</v>
      </c>
      <c r="Q97" s="144" t="str">
        <f t="shared" si="11"/>
        <v>32</v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>
        <v>51</v>
      </c>
      <c r="B98" s="149" t="str">
        <f t="shared" si="8"/>
        <v>Pomoći EU</v>
      </c>
      <c r="C98" s="154">
        <v>3431</v>
      </c>
      <c r="D98" s="149" t="str">
        <f t="shared" si="7"/>
        <v>Bankarske usluge i usluge platnog prometa</v>
      </c>
      <c r="E98" s="201" t="s">
        <v>965</v>
      </c>
      <c r="F98" s="149" t="str">
        <f t="shared" si="9"/>
        <v>H2020 PIXEL Učinkovito korištenje resursa, održivi razvoj i zeleni rast luka i okolnih gradova</v>
      </c>
      <c r="G98" s="198">
        <v>2000</v>
      </c>
      <c r="H98" s="198">
        <v>1000</v>
      </c>
      <c r="I98" s="198">
        <v>0</v>
      </c>
      <c r="J98" s="226"/>
      <c r="K98" s="225">
        <v>43221</v>
      </c>
      <c r="L98" s="225">
        <v>44316</v>
      </c>
      <c r="M98" s="226" t="s">
        <v>1680</v>
      </c>
      <c r="N98" s="226" t="s">
        <v>1681</v>
      </c>
      <c r="P98" s="144" t="str">
        <f t="shared" si="10"/>
        <v>343</v>
      </c>
      <c r="Q98" s="144" t="str">
        <f t="shared" si="11"/>
        <v>34</v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>
        <v>51</v>
      </c>
      <c r="B99" s="149" t="str">
        <f t="shared" si="8"/>
        <v>Pomoći EU</v>
      </c>
      <c r="C99" s="154">
        <v>4123</v>
      </c>
      <c r="D99" s="149" t="str">
        <f t="shared" si="7"/>
        <v>Licence</v>
      </c>
      <c r="E99" s="201" t="s">
        <v>965</v>
      </c>
      <c r="F99" s="149" t="str">
        <f t="shared" si="9"/>
        <v>H2020 PIXEL Učinkovito korištenje resursa, održivi razvoj i zeleni rast luka i okolnih gradova</v>
      </c>
      <c r="G99" s="198">
        <v>100000</v>
      </c>
      <c r="H99" s="198">
        <v>50000</v>
      </c>
      <c r="I99" s="198">
        <v>0</v>
      </c>
      <c r="J99" s="226"/>
      <c r="K99" s="225">
        <v>43221</v>
      </c>
      <c r="L99" s="225">
        <v>44316</v>
      </c>
      <c r="M99" s="226" t="s">
        <v>1680</v>
      </c>
      <c r="N99" s="226" t="s">
        <v>1681</v>
      </c>
      <c r="P99" s="144" t="str">
        <f t="shared" si="10"/>
        <v>412</v>
      </c>
      <c r="Q99" s="144" t="str">
        <f t="shared" si="11"/>
        <v>41</v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>
        <v>51</v>
      </c>
      <c r="B100" s="149" t="str">
        <f t="shared" si="8"/>
        <v>Pomoći EU</v>
      </c>
      <c r="C100" s="154">
        <v>4221</v>
      </c>
      <c r="D100" s="149" t="str">
        <f t="shared" si="7"/>
        <v>Uredska oprema i namještaj</v>
      </c>
      <c r="E100" s="201" t="s">
        <v>965</v>
      </c>
      <c r="F100" s="149" t="str">
        <f t="shared" si="9"/>
        <v>H2020 PIXEL Učinkovito korištenje resursa, održivi razvoj i zeleni rast luka i okolnih gradova</v>
      </c>
      <c r="G100" s="198">
        <v>59000</v>
      </c>
      <c r="H100" s="198">
        <v>29500</v>
      </c>
      <c r="I100" s="198">
        <v>0</v>
      </c>
      <c r="J100" s="226"/>
      <c r="K100" s="225">
        <v>43221</v>
      </c>
      <c r="L100" s="225">
        <v>44316</v>
      </c>
      <c r="M100" s="226" t="s">
        <v>1680</v>
      </c>
      <c r="N100" s="226" t="s">
        <v>1681</v>
      </c>
      <c r="P100" s="144" t="str">
        <f t="shared" si="10"/>
        <v>422</v>
      </c>
      <c r="Q100" s="144" t="str">
        <f t="shared" si="11"/>
        <v>42</v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>
        <v>51</v>
      </c>
      <c r="B101" s="149" t="str">
        <f t="shared" si="8"/>
        <v>Pomoći EU</v>
      </c>
      <c r="C101" s="154">
        <v>4222</v>
      </c>
      <c r="D101" s="149" t="str">
        <f t="shared" si="7"/>
        <v>Komunikacijska oprema</v>
      </c>
      <c r="E101" s="201" t="s">
        <v>965</v>
      </c>
      <c r="F101" s="149" t="str">
        <f t="shared" si="9"/>
        <v>H2020 PIXEL Učinkovito korištenje resursa, održivi razvoj i zeleni rast luka i okolnih gradova</v>
      </c>
      <c r="G101" s="198">
        <v>24000</v>
      </c>
      <c r="H101" s="198">
        <v>12000</v>
      </c>
      <c r="I101" s="198">
        <v>0</v>
      </c>
      <c r="J101" s="226"/>
      <c r="K101" s="225">
        <v>43221</v>
      </c>
      <c r="L101" s="225">
        <v>44316</v>
      </c>
      <c r="M101" s="226" t="s">
        <v>1680</v>
      </c>
      <c r="N101" s="226" t="s">
        <v>1681</v>
      </c>
      <c r="P101" s="144" t="str">
        <f t="shared" si="10"/>
        <v>422</v>
      </c>
      <c r="Q101" s="144" t="str">
        <f t="shared" si="11"/>
        <v>42</v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>
        <v>51</v>
      </c>
      <c r="B102" s="149" t="str">
        <f t="shared" si="8"/>
        <v>Pomoći EU</v>
      </c>
      <c r="C102" s="154">
        <v>4224</v>
      </c>
      <c r="D102" s="149" t="str">
        <f t="shared" si="7"/>
        <v>Medicinska i laboratorijska oprema</v>
      </c>
      <c r="E102" s="201" t="s">
        <v>965</v>
      </c>
      <c r="F102" s="149" t="str">
        <f t="shared" si="9"/>
        <v>H2020 PIXEL Učinkovito korištenje resursa, održivi razvoj i zeleni rast luka i okolnih gradova</v>
      </c>
      <c r="G102" s="198">
        <v>92000</v>
      </c>
      <c r="H102" s="198">
        <v>46000</v>
      </c>
      <c r="I102" s="198">
        <v>0</v>
      </c>
      <c r="J102" s="226"/>
      <c r="K102" s="225">
        <v>43221</v>
      </c>
      <c r="L102" s="225">
        <v>44316</v>
      </c>
      <c r="M102" s="226" t="s">
        <v>1680</v>
      </c>
      <c r="N102" s="226" t="s">
        <v>1681</v>
      </c>
      <c r="P102" s="144" t="str">
        <f t="shared" si="10"/>
        <v>422</v>
      </c>
      <c r="Q102" s="144" t="str">
        <f t="shared" si="11"/>
        <v>42</v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>
        <v>51</v>
      </c>
      <c r="B103" s="149" t="str">
        <f t="shared" si="8"/>
        <v>Pomoći EU</v>
      </c>
      <c r="C103" s="154">
        <v>3111</v>
      </c>
      <c r="D103" s="149" t="str">
        <f t="shared" si="7"/>
        <v>Plaće za redovan rad</v>
      </c>
      <c r="E103" s="201" t="s">
        <v>914</v>
      </c>
      <c r="F103" s="149" t="str">
        <f t="shared" si="9"/>
        <v>NOVI PODPROJEKT</v>
      </c>
      <c r="G103" s="198">
        <v>15000</v>
      </c>
      <c r="H103" s="198">
        <v>0</v>
      </c>
      <c r="I103" s="198">
        <v>0</v>
      </c>
      <c r="J103" s="226" t="s">
        <v>1682</v>
      </c>
      <c r="K103" s="225">
        <v>43405</v>
      </c>
      <c r="L103" s="225">
        <v>44134</v>
      </c>
      <c r="M103" s="226" t="s">
        <v>1683</v>
      </c>
      <c r="N103" s="226" t="s">
        <v>1693</v>
      </c>
      <c r="P103" s="144" t="str">
        <f t="shared" si="10"/>
        <v>311</v>
      </c>
      <c r="Q103" s="144" t="str">
        <f t="shared" si="11"/>
        <v>31</v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>
        <v>51</v>
      </c>
      <c r="B104" s="149" t="str">
        <f t="shared" si="8"/>
        <v>Pomoći EU</v>
      </c>
      <c r="C104" s="154">
        <v>3121</v>
      </c>
      <c r="D104" s="149" t="str">
        <f t="shared" si="7"/>
        <v>Ostali rashodi za zaposlene</v>
      </c>
      <c r="E104" s="201" t="s">
        <v>914</v>
      </c>
      <c r="F104" s="149" t="str">
        <f t="shared" si="9"/>
        <v>NOVI PODPROJEKT</v>
      </c>
      <c r="G104" s="198">
        <v>1000</v>
      </c>
      <c r="H104" s="198">
        <v>0</v>
      </c>
      <c r="I104" s="198">
        <v>0</v>
      </c>
      <c r="J104" s="226" t="s">
        <v>1682</v>
      </c>
      <c r="K104" s="225">
        <v>43405</v>
      </c>
      <c r="L104" s="225">
        <v>44134</v>
      </c>
      <c r="M104" s="226" t="s">
        <v>1683</v>
      </c>
      <c r="N104" s="226" t="s">
        <v>1693</v>
      </c>
      <c r="P104" s="144" t="str">
        <f t="shared" si="10"/>
        <v>312</v>
      </c>
      <c r="Q104" s="144" t="str">
        <f t="shared" si="11"/>
        <v>31</v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>
        <v>51</v>
      </c>
      <c r="B105" s="149" t="str">
        <f t="shared" si="8"/>
        <v>Pomoći EU</v>
      </c>
      <c r="C105" s="154">
        <v>3132</v>
      </c>
      <c r="D105" s="149" t="str">
        <f t="shared" si="7"/>
        <v>Doprinosi za obvezno zdravstveno osiguranje</v>
      </c>
      <c r="E105" s="201" t="s">
        <v>914</v>
      </c>
      <c r="F105" s="149" t="str">
        <f t="shared" si="9"/>
        <v>NOVI PODPROJEKT</v>
      </c>
      <c r="G105" s="198">
        <v>4000</v>
      </c>
      <c r="H105" s="198">
        <v>0</v>
      </c>
      <c r="I105" s="198">
        <v>0</v>
      </c>
      <c r="J105" s="226" t="s">
        <v>1682</v>
      </c>
      <c r="K105" s="225">
        <v>43405</v>
      </c>
      <c r="L105" s="225">
        <v>44134</v>
      </c>
      <c r="M105" s="226" t="s">
        <v>1683</v>
      </c>
      <c r="N105" s="226" t="s">
        <v>1693</v>
      </c>
      <c r="P105" s="144" t="str">
        <f t="shared" si="10"/>
        <v>313</v>
      </c>
      <c r="Q105" s="144" t="str">
        <f t="shared" si="11"/>
        <v>31</v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>
        <v>51</v>
      </c>
      <c r="B106" s="149" t="str">
        <f t="shared" si="8"/>
        <v>Pomoći EU</v>
      </c>
      <c r="C106" s="154">
        <v>3211</v>
      </c>
      <c r="D106" s="149" t="str">
        <f t="shared" si="7"/>
        <v>Službena putovanja</v>
      </c>
      <c r="E106" s="201" t="s">
        <v>914</v>
      </c>
      <c r="F106" s="149" t="str">
        <f t="shared" si="9"/>
        <v>NOVI PODPROJEKT</v>
      </c>
      <c r="G106" s="198">
        <v>20000</v>
      </c>
      <c r="H106" s="198">
        <v>0</v>
      </c>
      <c r="I106" s="198">
        <v>0</v>
      </c>
      <c r="J106" s="226" t="s">
        <v>1682</v>
      </c>
      <c r="K106" s="225">
        <v>43405</v>
      </c>
      <c r="L106" s="225">
        <v>44134</v>
      </c>
      <c r="M106" s="226" t="s">
        <v>1683</v>
      </c>
      <c r="N106" s="226" t="s">
        <v>1693</v>
      </c>
      <c r="P106" s="144" t="str">
        <f t="shared" si="10"/>
        <v>321</v>
      </c>
      <c r="Q106" s="144" t="str">
        <f t="shared" si="11"/>
        <v>32</v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>
        <v>51</v>
      </c>
      <c r="B107" s="149" t="str">
        <f t="shared" si="8"/>
        <v>Pomoći EU</v>
      </c>
      <c r="C107" s="154">
        <v>3212</v>
      </c>
      <c r="D107" s="149" t="str">
        <f t="shared" si="7"/>
        <v>Naknade za prijevoz, za rad na terenu i odvojeni život</v>
      </c>
      <c r="E107" s="201" t="s">
        <v>914</v>
      </c>
      <c r="F107" s="149" t="str">
        <f t="shared" si="9"/>
        <v>NOVI PODPROJEKT</v>
      </c>
      <c r="G107" s="198">
        <v>1000</v>
      </c>
      <c r="H107" s="198">
        <v>0</v>
      </c>
      <c r="I107" s="198">
        <v>0</v>
      </c>
      <c r="J107" s="226" t="s">
        <v>1682</v>
      </c>
      <c r="K107" s="225">
        <v>43405</v>
      </c>
      <c r="L107" s="225">
        <v>44134</v>
      </c>
      <c r="M107" s="226" t="s">
        <v>1683</v>
      </c>
      <c r="N107" s="226" t="s">
        <v>1693</v>
      </c>
      <c r="P107" s="144" t="str">
        <f t="shared" si="10"/>
        <v>321</v>
      </c>
      <c r="Q107" s="144" t="str">
        <f t="shared" si="11"/>
        <v>32</v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>
        <v>51</v>
      </c>
      <c r="B108" s="149" t="str">
        <f t="shared" si="8"/>
        <v>Pomoći EU</v>
      </c>
      <c r="C108" s="154">
        <v>3293</v>
      </c>
      <c r="D108" s="149" t="str">
        <f t="shared" si="7"/>
        <v>Reprezentacija</v>
      </c>
      <c r="E108" s="201" t="s">
        <v>914</v>
      </c>
      <c r="F108" s="149" t="str">
        <f t="shared" si="9"/>
        <v>NOVI PODPROJEKT</v>
      </c>
      <c r="G108" s="198">
        <v>2000</v>
      </c>
      <c r="H108" s="198">
        <v>0</v>
      </c>
      <c r="I108" s="198">
        <v>0</v>
      </c>
      <c r="J108" s="226" t="s">
        <v>1682</v>
      </c>
      <c r="K108" s="225">
        <v>43405</v>
      </c>
      <c r="L108" s="225">
        <v>44134</v>
      </c>
      <c r="M108" s="226" t="s">
        <v>1683</v>
      </c>
      <c r="N108" s="226" t="s">
        <v>1693</v>
      </c>
      <c r="P108" s="144" t="str">
        <f t="shared" si="10"/>
        <v>329</v>
      </c>
      <c r="Q108" s="144" t="str">
        <f t="shared" si="11"/>
        <v>32</v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>
        <v>51</v>
      </c>
      <c r="B109" s="149" t="str">
        <f t="shared" si="8"/>
        <v>Pomoći EU</v>
      </c>
      <c r="C109" s="154">
        <v>3111</v>
      </c>
      <c r="D109" s="149" t="str">
        <f t="shared" si="7"/>
        <v>Plaće za redovan rad</v>
      </c>
      <c r="E109" s="201" t="s">
        <v>914</v>
      </c>
      <c r="F109" s="149" t="str">
        <f t="shared" si="9"/>
        <v>NOVI PODPROJEKT</v>
      </c>
      <c r="G109" s="198">
        <v>100000</v>
      </c>
      <c r="H109" s="198">
        <v>50000</v>
      </c>
      <c r="I109" s="198">
        <v>0</v>
      </c>
      <c r="J109" s="226" t="s">
        <v>1684</v>
      </c>
      <c r="K109" s="225">
        <v>43586</v>
      </c>
      <c r="L109" s="225">
        <v>44317</v>
      </c>
      <c r="M109" s="226" t="s">
        <v>1685</v>
      </c>
      <c r="N109" s="226" t="s">
        <v>1694</v>
      </c>
      <c r="P109" s="144" t="str">
        <f t="shared" si="10"/>
        <v>311</v>
      </c>
      <c r="Q109" s="144" t="str">
        <f t="shared" si="11"/>
        <v>31</v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>
        <v>51</v>
      </c>
      <c r="B110" s="149" t="str">
        <f t="shared" si="8"/>
        <v>Pomoći EU</v>
      </c>
      <c r="C110" s="154">
        <v>3121</v>
      </c>
      <c r="D110" s="149" t="str">
        <f t="shared" si="7"/>
        <v>Ostali rashodi za zaposlene</v>
      </c>
      <c r="E110" s="201" t="s">
        <v>914</v>
      </c>
      <c r="F110" s="149" t="str">
        <f t="shared" si="9"/>
        <v>NOVI PODPROJEKT</v>
      </c>
      <c r="G110" s="198">
        <v>5000</v>
      </c>
      <c r="H110" s="198">
        <v>2500</v>
      </c>
      <c r="I110" s="198">
        <v>0</v>
      </c>
      <c r="J110" s="226" t="s">
        <v>1684</v>
      </c>
      <c r="K110" s="225">
        <v>43586</v>
      </c>
      <c r="L110" s="225">
        <v>44317</v>
      </c>
      <c r="M110" s="226" t="s">
        <v>1685</v>
      </c>
      <c r="N110" s="226" t="s">
        <v>1694</v>
      </c>
      <c r="P110" s="144" t="str">
        <f t="shared" si="10"/>
        <v>312</v>
      </c>
      <c r="Q110" s="144" t="str">
        <f t="shared" si="11"/>
        <v>31</v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>
        <v>51</v>
      </c>
      <c r="B111" s="149" t="str">
        <f t="shared" si="8"/>
        <v>Pomoći EU</v>
      </c>
      <c r="C111" s="154">
        <v>3132</v>
      </c>
      <c r="D111" s="149" t="str">
        <f t="shared" si="7"/>
        <v>Doprinosi za obvezno zdravstveno osiguranje</v>
      </c>
      <c r="E111" s="201" t="s">
        <v>914</v>
      </c>
      <c r="F111" s="149" t="str">
        <f t="shared" si="9"/>
        <v>NOVI PODPROJEKT</v>
      </c>
      <c r="G111" s="198">
        <v>34000</v>
      </c>
      <c r="H111" s="198">
        <v>17000</v>
      </c>
      <c r="I111" s="198">
        <v>0</v>
      </c>
      <c r="J111" s="226" t="s">
        <v>1684</v>
      </c>
      <c r="K111" s="225">
        <v>43586</v>
      </c>
      <c r="L111" s="225">
        <v>44317</v>
      </c>
      <c r="M111" s="226" t="s">
        <v>1685</v>
      </c>
      <c r="N111" s="226" t="s">
        <v>1694</v>
      </c>
      <c r="P111" s="144" t="str">
        <f t="shared" si="10"/>
        <v>313</v>
      </c>
      <c r="Q111" s="144" t="str">
        <f t="shared" si="11"/>
        <v>31</v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>
        <v>51</v>
      </c>
      <c r="B112" s="149" t="str">
        <f t="shared" si="8"/>
        <v>Pomoći EU</v>
      </c>
      <c r="C112" s="154">
        <v>3212</v>
      </c>
      <c r="D112" s="149" t="str">
        <f t="shared" si="7"/>
        <v>Naknade za prijevoz, za rad na terenu i odvojeni život</v>
      </c>
      <c r="E112" s="201" t="s">
        <v>914</v>
      </c>
      <c r="F112" s="149" t="str">
        <f t="shared" si="9"/>
        <v>NOVI PODPROJEKT</v>
      </c>
      <c r="G112" s="198">
        <v>10000</v>
      </c>
      <c r="H112" s="198">
        <v>5000</v>
      </c>
      <c r="I112" s="198">
        <v>0</v>
      </c>
      <c r="J112" s="226" t="s">
        <v>1684</v>
      </c>
      <c r="K112" s="225">
        <v>43586</v>
      </c>
      <c r="L112" s="225">
        <v>44317</v>
      </c>
      <c r="M112" s="226" t="s">
        <v>1685</v>
      </c>
      <c r="N112" s="226" t="s">
        <v>1694</v>
      </c>
      <c r="P112" s="144" t="str">
        <f t="shared" si="10"/>
        <v>321</v>
      </c>
      <c r="Q112" s="144" t="str">
        <f t="shared" si="11"/>
        <v>32</v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>
        <v>51</v>
      </c>
      <c r="B113" s="149" t="str">
        <f t="shared" si="8"/>
        <v>Pomoći EU</v>
      </c>
      <c r="C113" s="154">
        <v>3221</v>
      </c>
      <c r="D113" s="149" t="str">
        <f t="shared" si="7"/>
        <v>Uredski materijal i ostali materijalni rashodi</v>
      </c>
      <c r="E113" s="201" t="s">
        <v>914</v>
      </c>
      <c r="F113" s="149" t="str">
        <f t="shared" si="9"/>
        <v>NOVI PODPROJEKT</v>
      </c>
      <c r="G113" s="198">
        <v>10000</v>
      </c>
      <c r="H113" s="198">
        <v>5000</v>
      </c>
      <c r="I113" s="198">
        <v>0</v>
      </c>
      <c r="J113" s="226" t="s">
        <v>1684</v>
      </c>
      <c r="K113" s="225">
        <v>43586</v>
      </c>
      <c r="L113" s="225">
        <v>44317</v>
      </c>
      <c r="M113" s="226" t="s">
        <v>1685</v>
      </c>
      <c r="N113" s="226" t="s">
        <v>1694</v>
      </c>
      <c r="P113" s="144" t="str">
        <f t="shared" si="10"/>
        <v>322</v>
      </c>
      <c r="Q113" s="144" t="str">
        <f t="shared" si="11"/>
        <v>32</v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>
        <v>51</v>
      </c>
      <c r="B114" s="149" t="str">
        <f t="shared" si="8"/>
        <v>Pomoći EU</v>
      </c>
      <c r="C114" s="154">
        <v>3222</v>
      </c>
      <c r="D114" s="149" t="str">
        <f t="shared" si="7"/>
        <v>Materijal i sirovine</v>
      </c>
      <c r="E114" s="201" t="s">
        <v>914</v>
      </c>
      <c r="F114" s="149" t="str">
        <f t="shared" si="9"/>
        <v>NOVI PODPROJEKT</v>
      </c>
      <c r="G114" s="198">
        <v>16000</v>
      </c>
      <c r="H114" s="198">
        <v>8000</v>
      </c>
      <c r="I114" s="198">
        <v>0</v>
      </c>
      <c r="J114" s="226" t="s">
        <v>1684</v>
      </c>
      <c r="K114" s="225">
        <v>43586</v>
      </c>
      <c r="L114" s="225">
        <v>44317</v>
      </c>
      <c r="M114" s="226" t="s">
        <v>1685</v>
      </c>
      <c r="N114" s="226" t="s">
        <v>1694</v>
      </c>
      <c r="P114" s="144" t="str">
        <f t="shared" si="10"/>
        <v>322</v>
      </c>
      <c r="Q114" s="144" t="str">
        <f t="shared" si="11"/>
        <v>32</v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>
        <v>51</v>
      </c>
      <c r="B115" s="149" t="str">
        <f t="shared" si="8"/>
        <v>Pomoći EU</v>
      </c>
      <c r="C115" s="154">
        <v>3225</v>
      </c>
      <c r="D115" s="149" t="str">
        <f t="shared" si="7"/>
        <v>Sitni inventar i auto gume</v>
      </c>
      <c r="E115" s="201" t="s">
        <v>914</v>
      </c>
      <c r="F115" s="149" t="str">
        <f t="shared" si="9"/>
        <v>NOVI PODPROJEKT</v>
      </c>
      <c r="G115" s="198">
        <v>8000</v>
      </c>
      <c r="H115" s="198">
        <v>4000</v>
      </c>
      <c r="I115" s="198">
        <v>0</v>
      </c>
      <c r="J115" s="226" t="s">
        <v>1684</v>
      </c>
      <c r="K115" s="225">
        <v>43586</v>
      </c>
      <c r="L115" s="225">
        <v>44317</v>
      </c>
      <c r="M115" s="226" t="s">
        <v>1685</v>
      </c>
      <c r="N115" s="226" t="s">
        <v>1694</v>
      </c>
      <c r="P115" s="144" t="str">
        <f t="shared" si="10"/>
        <v>322</v>
      </c>
      <c r="Q115" s="144" t="str">
        <f t="shared" si="11"/>
        <v>32</v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>
        <v>51</v>
      </c>
      <c r="B116" s="149" t="str">
        <f t="shared" si="8"/>
        <v>Pomoći EU</v>
      </c>
      <c r="C116" s="154">
        <v>3231</v>
      </c>
      <c r="D116" s="149" t="str">
        <f t="shared" si="7"/>
        <v>Usluge telefona, pošte i prijevoza</v>
      </c>
      <c r="E116" s="201" t="s">
        <v>914</v>
      </c>
      <c r="F116" s="149" t="str">
        <f t="shared" si="9"/>
        <v>NOVI PODPROJEKT</v>
      </c>
      <c r="G116" s="198">
        <v>2000</v>
      </c>
      <c r="H116" s="198">
        <v>1000</v>
      </c>
      <c r="I116" s="198">
        <v>0</v>
      </c>
      <c r="J116" s="226" t="s">
        <v>1684</v>
      </c>
      <c r="K116" s="225">
        <v>43586</v>
      </c>
      <c r="L116" s="225">
        <v>44317</v>
      </c>
      <c r="M116" s="226" t="s">
        <v>1685</v>
      </c>
      <c r="N116" s="226" t="s">
        <v>1694</v>
      </c>
      <c r="P116" s="144" t="str">
        <f t="shared" si="10"/>
        <v>323</v>
      </c>
      <c r="Q116" s="144" t="str">
        <f t="shared" si="11"/>
        <v>32</v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>
        <v>51</v>
      </c>
      <c r="B117" s="149" t="str">
        <f t="shared" si="8"/>
        <v>Pomoći EU</v>
      </c>
      <c r="C117" s="154">
        <v>3233</v>
      </c>
      <c r="D117" s="149" t="str">
        <f t="shared" si="7"/>
        <v>Usluge promidžbe i informiranja</v>
      </c>
      <c r="E117" s="201" t="s">
        <v>914</v>
      </c>
      <c r="F117" s="149" t="str">
        <f t="shared" si="9"/>
        <v>NOVI PODPROJEKT</v>
      </c>
      <c r="G117" s="198">
        <v>6000</v>
      </c>
      <c r="H117" s="198">
        <v>3000</v>
      </c>
      <c r="I117" s="198">
        <v>0</v>
      </c>
      <c r="J117" s="226" t="s">
        <v>1684</v>
      </c>
      <c r="K117" s="225">
        <v>43586</v>
      </c>
      <c r="L117" s="225">
        <v>44317</v>
      </c>
      <c r="M117" s="226" t="s">
        <v>1685</v>
      </c>
      <c r="N117" s="226" t="s">
        <v>1694</v>
      </c>
      <c r="P117" s="144" t="str">
        <f t="shared" si="10"/>
        <v>323</v>
      </c>
      <c r="Q117" s="144" t="str">
        <f t="shared" si="11"/>
        <v>32</v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>
        <v>51</v>
      </c>
      <c r="B118" s="149" t="str">
        <f t="shared" si="8"/>
        <v>Pomoći EU</v>
      </c>
      <c r="C118" s="154">
        <v>3237</v>
      </c>
      <c r="D118" s="149" t="str">
        <f t="shared" si="7"/>
        <v>Intelektualne i osobne usluge</v>
      </c>
      <c r="E118" s="201" t="s">
        <v>914</v>
      </c>
      <c r="F118" s="149" t="str">
        <f t="shared" si="9"/>
        <v>NOVI PODPROJEKT</v>
      </c>
      <c r="G118" s="198">
        <v>8000</v>
      </c>
      <c r="H118" s="198">
        <v>4000</v>
      </c>
      <c r="I118" s="198">
        <v>0</v>
      </c>
      <c r="J118" s="226" t="s">
        <v>1684</v>
      </c>
      <c r="K118" s="225">
        <v>43586</v>
      </c>
      <c r="L118" s="225">
        <v>44317</v>
      </c>
      <c r="M118" s="226" t="s">
        <v>1685</v>
      </c>
      <c r="N118" s="226" t="s">
        <v>1694</v>
      </c>
      <c r="P118" s="144" t="str">
        <f t="shared" si="10"/>
        <v>323</v>
      </c>
      <c r="Q118" s="144" t="str">
        <f t="shared" si="11"/>
        <v>32</v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>
        <v>51</v>
      </c>
      <c r="B119" s="149" t="str">
        <f t="shared" si="8"/>
        <v>Pomoći EU</v>
      </c>
      <c r="C119" s="154">
        <v>3239</v>
      </c>
      <c r="D119" s="149" t="str">
        <f t="shared" si="7"/>
        <v>Ostale usluge</v>
      </c>
      <c r="E119" s="201" t="s">
        <v>914</v>
      </c>
      <c r="F119" s="149" t="str">
        <f t="shared" si="9"/>
        <v>NOVI PODPROJEKT</v>
      </c>
      <c r="G119" s="198">
        <v>4000</v>
      </c>
      <c r="H119" s="198">
        <v>2000</v>
      </c>
      <c r="I119" s="198">
        <v>0</v>
      </c>
      <c r="J119" s="226" t="s">
        <v>1684</v>
      </c>
      <c r="K119" s="225">
        <v>43586</v>
      </c>
      <c r="L119" s="225">
        <v>44317</v>
      </c>
      <c r="M119" s="226" t="s">
        <v>1685</v>
      </c>
      <c r="N119" s="226" t="s">
        <v>1694</v>
      </c>
      <c r="P119" s="144" t="str">
        <f t="shared" si="10"/>
        <v>323</v>
      </c>
      <c r="Q119" s="144" t="str">
        <f t="shared" si="11"/>
        <v>32</v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>
        <v>51</v>
      </c>
      <c r="B120" s="149" t="str">
        <f t="shared" si="8"/>
        <v>Pomoći EU</v>
      </c>
      <c r="C120" s="154">
        <v>3241</v>
      </c>
      <c r="D120" s="149" t="str">
        <f t="shared" si="7"/>
        <v>Naknade troškova osobama izvan radnog odnosa</v>
      </c>
      <c r="E120" s="201" t="s">
        <v>914</v>
      </c>
      <c r="F120" s="149" t="str">
        <f t="shared" si="9"/>
        <v>NOVI PODPROJEKT</v>
      </c>
      <c r="G120" s="198">
        <v>8000</v>
      </c>
      <c r="H120" s="198">
        <v>4000</v>
      </c>
      <c r="I120" s="198">
        <v>0</v>
      </c>
      <c r="J120" s="226" t="s">
        <v>1684</v>
      </c>
      <c r="K120" s="225">
        <v>43586</v>
      </c>
      <c r="L120" s="225">
        <v>44317</v>
      </c>
      <c r="M120" s="226" t="s">
        <v>1685</v>
      </c>
      <c r="N120" s="226" t="s">
        <v>1694</v>
      </c>
      <c r="P120" s="144" t="str">
        <f t="shared" si="10"/>
        <v>324</v>
      </c>
      <c r="Q120" s="144" t="str">
        <f t="shared" si="11"/>
        <v>32</v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>
        <v>51</v>
      </c>
      <c r="B121" s="149" t="str">
        <f t="shared" si="8"/>
        <v>Pomoći EU</v>
      </c>
      <c r="C121" s="154">
        <v>3293</v>
      </c>
      <c r="D121" s="149" t="str">
        <f t="shared" si="7"/>
        <v>Reprezentacija</v>
      </c>
      <c r="E121" s="201" t="s">
        <v>914</v>
      </c>
      <c r="F121" s="149" t="str">
        <f t="shared" si="9"/>
        <v>NOVI PODPROJEKT</v>
      </c>
      <c r="G121" s="198">
        <v>8000</v>
      </c>
      <c r="H121" s="198">
        <v>4000</v>
      </c>
      <c r="I121" s="198">
        <v>0</v>
      </c>
      <c r="J121" s="226" t="s">
        <v>1684</v>
      </c>
      <c r="K121" s="225">
        <v>43586</v>
      </c>
      <c r="L121" s="225">
        <v>44317</v>
      </c>
      <c r="M121" s="226" t="s">
        <v>1685</v>
      </c>
      <c r="N121" s="226" t="s">
        <v>1694</v>
      </c>
      <c r="P121" s="144" t="str">
        <f t="shared" si="10"/>
        <v>329</v>
      </c>
      <c r="Q121" s="144" t="str">
        <f t="shared" si="11"/>
        <v>32</v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>
        <v>51</v>
      </c>
      <c r="B122" s="149" t="str">
        <f t="shared" si="8"/>
        <v>Pomoći EU</v>
      </c>
      <c r="C122" s="154">
        <v>3431</v>
      </c>
      <c r="D122" s="149" t="str">
        <f t="shared" si="7"/>
        <v>Bankarske usluge i usluge platnog prometa</v>
      </c>
      <c r="E122" s="201" t="s">
        <v>914</v>
      </c>
      <c r="F122" s="149" t="str">
        <f t="shared" si="9"/>
        <v>NOVI PODPROJEKT</v>
      </c>
      <c r="G122" s="198">
        <v>1000</v>
      </c>
      <c r="H122" s="198">
        <v>500</v>
      </c>
      <c r="I122" s="198">
        <v>0</v>
      </c>
      <c r="J122" s="226" t="s">
        <v>1684</v>
      </c>
      <c r="K122" s="225">
        <v>43586</v>
      </c>
      <c r="L122" s="225">
        <v>44317</v>
      </c>
      <c r="M122" s="226" t="s">
        <v>1685</v>
      </c>
      <c r="N122" s="226" t="s">
        <v>1694</v>
      </c>
      <c r="P122" s="144" t="str">
        <f t="shared" si="10"/>
        <v>343</v>
      </c>
      <c r="Q122" s="144" t="str">
        <f t="shared" si="11"/>
        <v>34</v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>
        <v>51</v>
      </c>
      <c r="B123" s="149" t="str">
        <f t="shared" si="8"/>
        <v>Pomoći EU</v>
      </c>
      <c r="C123" s="154">
        <v>3111</v>
      </c>
      <c r="D123" s="149" t="str">
        <f t="shared" si="7"/>
        <v>Plaće za redovan rad</v>
      </c>
      <c r="E123" s="201" t="s">
        <v>914</v>
      </c>
      <c r="F123" s="149" t="str">
        <f t="shared" si="9"/>
        <v>NOVI PODPROJEKT</v>
      </c>
      <c r="G123" s="198">
        <v>220000</v>
      </c>
      <c r="H123" s="198">
        <v>220000</v>
      </c>
      <c r="I123" s="198">
        <v>220000</v>
      </c>
      <c r="J123" s="226" t="s">
        <v>1686</v>
      </c>
      <c r="K123" s="225">
        <v>43800</v>
      </c>
      <c r="L123" s="225">
        <v>45260</v>
      </c>
      <c r="M123" s="226" t="s">
        <v>1687</v>
      </c>
      <c r="N123" s="226" t="s">
        <v>1695</v>
      </c>
      <c r="P123" s="144" t="str">
        <f t="shared" si="10"/>
        <v>311</v>
      </c>
      <c r="Q123" s="144" t="str">
        <f t="shared" si="11"/>
        <v>31</v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>
        <v>51</v>
      </c>
      <c r="B124" s="149" t="str">
        <f t="shared" si="8"/>
        <v>Pomoći EU</v>
      </c>
      <c r="C124" s="154">
        <v>3121</v>
      </c>
      <c r="D124" s="149" t="str">
        <f t="shared" si="7"/>
        <v>Ostali rashodi za zaposlene</v>
      </c>
      <c r="E124" s="201" t="s">
        <v>914</v>
      </c>
      <c r="F124" s="149" t="str">
        <f t="shared" si="9"/>
        <v>NOVI PODPROJEKT</v>
      </c>
      <c r="G124" s="198">
        <v>4000</v>
      </c>
      <c r="H124" s="198">
        <v>4000</v>
      </c>
      <c r="I124" s="198">
        <v>4000</v>
      </c>
      <c r="J124" s="226" t="s">
        <v>1686</v>
      </c>
      <c r="K124" s="225">
        <v>43800</v>
      </c>
      <c r="L124" s="225">
        <v>45260</v>
      </c>
      <c r="M124" s="226" t="s">
        <v>1687</v>
      </c>
      <c r="N124" s="226" t="s">
        <v>1695</v>
      </c>
      <c r="P124" s="144" t="str">
        <f t="shared" si="10"/>
        <v>312</v>
      </c>
      <c r="Q124" s="144" t="str">
        <f t="shared" si="11"/>
        <v>31</v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>
        <v>51</v>
      </c>
      <c r="B125" s="149" t="str">
        <f t="shared" si="8"/>
        <v>Pomoći EU</v>
      </c>
      <c r="C125" s="154">
        <v>3132</v>
      </c>
      <c r="D125" s="149" t="str">
        <f t="shared" si="7"/>
        <v>Doprinosi za obvezno zdravstveno osiguranje</v>
      </c>
      <c r="E125" s="201" t="s">
        <v>914</v>
      </c>
      <c r="F125" s="149" t="str">
        <f t="shared" si="9"/>
        <v>NOVI PODPROJEKT</v>
      </c>
      <c r="G125" s="198">
        <v>40000</v>
      </c>
      <c r="H125" s="198">
        <v>36000</v>
      </c>
      <c r="I125" s="198">
        <v>36000</v>
      </c>
      <c r="J125" s="226" t="s">
        <v>1686</v>
      </c>
      <c r="K125" s="225">
        <v>43800</v>
      </c>
      <c r="L125" s="225">
        <v>45260</v>
      </c>
      <c r="M125" s="226" t="s">
        <v>1687</v>
      </c>
      <c r="N125" s="226" t="s">
        <v>1695</v>
      </c>
      <c r="P125" s="144" t="str">
        <f t="shared" si="10"/>
        <v>313</v>
      </c>
      <c r="Q125" s="144" t="str">
        <f t="shared" si="11"/>
        <v>31</v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>
        <v>51</v>
      </c>
      <c r="B126" s="149" t="str">
        <f t="shared" si="8"/>
        <v>Pomoći EU</v>
      </c>
      <c r="C126" s="154">
        <v>3211</v>
      </c>
      <c r="D126" s="149" t="str">
        <f t="shared" si="7"/>
        <v>Službena putovanja</v>
      </c>
      <c r="E126" s="201" t="s">
        <v>914</v>
      </c>
      <c r="F126" s="149" t="str">
        <f t="shared" si="9"/>
        <v>NOVI PODPROJEKT</v>
      </c>
      <c r="G126" s="198">
        <v>26000</v>
      </c>
      <c r="H126" s="198">
        <v>26000</v>
      </c>
      <c r="I126" s="198">
        <v>26000</v>
      </c>
      <c r="J126" s="226" t="s">
        <v>1686</v>
      </c>
      <c r="K126" s="225">
        <v>43800</v>
      </c>
      <c r="L126" s="225">
        <v>45260</v>
      </c>
      <c r="M126" s="226" t="s">
        <v>1687</v>
      </c>
      <c r="N126" s="226" t="s">
        <v>1695</v>
      </c>
      <c r="P126" s="144" t="str">
        <f t="shared" si="10"/>
        <v>321</v>
      </c>
      <c r="Q126" s="144" t="str">
        <f t="shared" si="11"/>
        <v>32</v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>
        <v>51</v>
      </c>
      <c r="B127" s="149" t="str">
        <f t="shared" si="8"/>
        <v>Pomoći EU</v>
      </c>
      <c r="C127" s="154">
        <v>3212</v>
      </c>
      <c r="D127" s="149" t="str">
        <f t="shared" si="7"/>
        <v>Naknade za prijevoz, za rad na terenu i odvojeni život</v>
      </c>
      <c r="E127" s="201" t="s">
        <v>914</v>
      </c>
      <c r="F127" s="149" t="str">
        <f t="shared" si="9"/>
        <v>NOVI PODPROJEKT</v>
      </c>
      <c r="G127" s="198">
        <v>4000</v>
      </c>
      <c r="H127" s="198">
        <v>4000</v>
      </c>
      <c r="I127" s="198">
        <v>4000</v>
      </c>
      <c r="J127" s="226" t="s">
        <v>1686</v>
      </c>
      <c r="K127" s="225">
        <v>43800</v>
      </c>
      <c r="L127" s="225">
        <v>45260</v>
      </c>
      <c r="M127" s="226" t="s">
        <v>1687</v>
      </c>
      <c r="N127" s="226" t="s">
        <v>1695</v>
      </c>
      <c r="P127" s="144" t="str">
        <f t="shared" si="10"/>
        <v>321</v>
      </c>
      <c r="Q127" s="144" t="str">
        <f t="shared" si="11"/>
        <v>32</v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>
        <v>51</v>
      </c>
      <c r="B128" s="149" t="str">
        <f t="shared" si="8"/>
        <v>Pomoći EU</v>
      </c>
      <c r="C128" s="154">
        <v>3213</v>
      </c>
      <c r="D128" s="149" t="str">
        <f t="shared" si="7"/>
        <v>Stručno usavršavanje zaposlenika</v>
      </c>
      <c r="E128" s="201" t="s">
        <v>914</v>
      </c>
      <c r="F128" s="149" t="str">
        <f t="shared" si="9"/>
        <v>NOVI PODPROJEKT</v>
      </c>
      <c r="G128" s="198">
        <v>8000</v>
      </c>
      <c r="H128" s="198">
        <v>8000</v>
      </c>
      <c r="I128" s="198">
        <v>8000</v>
      </c>
      <c r="J128" s="226" t="s">
        <v>1686</v>
      </c>
      <c r="K128" s="225">
        <v>43800</v>
      </c>
      <c r="L128" s="225">
        <v>45260</v>
      </c>
      <c r="M128" s="226" t="s">
        <v>1687</v>
      </c>
      <c r="N128" s="226" t="s">
        <v>1695</v>
      </c>
      <c r="P128" s="144" t="str">
        <f t="shared" si="10"/>
        <v>321</v>
      </c>
      <c r="Q128" s="144" t="str">
        <f t="shared" si="11"/>
        <v>32</v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>
        <v>51</v>
      </c>
      <c r="B129" s="149" t="str">
        <f t="shared" si="8"/>
        <v>Pomoći EU</v>
      </c>
      <c r="C129" s="154">
        <v>3221</v>
      </c>
      <c r="D129" s="149" t="str">
        <f t="shared" si="7"/>
        <v>Uredski materijal i ostali materijalni rashodi</v>
      </c>
      <c r="E129" s="201" t="s">
        <v>914</v>
      </c>
      <c r="F129" s="149" t="str">
        <f t="shared" si="9"/>
        <v>NOVI PODPROJEKT</v>
      </c>
      <c r="G129" s="198">
        <v>6000</v>
      </c>
      <c r="H129" s="198">
        <v>6000</v>
      </c>
      <c r="I129" s="198">
        <v>6000</v>
      </c>
      <c r="J129" s="226" t="s">
        <v>1686</v>
      </c>
      <c r="K129" s="225">
        <v>43800</v>
      </c>
      <c r="L129" s="225">
        <v>45260</v>
      </c>
      <c r="M129" s="226" t="s">
        <v>1687</v>
      </c>
      <c r="N129" s="226" t="s">
        <v>1695</v>
      </c>
      <c r="P129" s="144" t="str">
        <f t="shared" si="10"/>
        <v>322</v>
      </c>
      <c r="Q129" s="144" t="str">
        <f t="shared" si="11"/>
        <v>32</v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>
        <v>51</v>
      </c>
      <c r="B130" s="149" t="str">
        <f t="shared" si="8"/>
        <v>Pomoći EU</v>
      </c>
      <c r="C130" s="154">
        <v>3222</v>
      </c>
      <c r="D130" s="149" t="str">
        <f t="shared" si="7"/>
        <v>Materijal i sirovine</v>
      </c>
      <c r="E130" s="201" t="s">
        <v>914</v>
      </c>
      <c r="F130" s="149" t="str">
        <f t="shared" si="9"/>
        <v>NOVI PODPROJEKT</v>
      </c>
      <c r="G130" s="198">
        <v>34000</v>
      </c>
      <c r="H130" s="198">
        <v>34000</v>
      </c>
      <c r="I130" s="198">
        <v>34000</v>
      </c>
      <c r="J130" s="226" t="s">
        <v>1686</v>
      </c>
      <c r="K130" s="225">
        <v>43800</v>
      </c>
      <c r="L130" s="225">
        <v>45260</v>
      </c>
      <c r="M130" s="226" t="s">
        <v>1687</v>
      </c>
      <c r="N130" s="226" t="s">
        <v>1695</v>
      </c>
      <c r="P130" s="144" t="str">
        <f t="shared" si="10"/>
        <v>322</v>
      </c>
      <c r="Q130" s="144" t="str">
        <f t="shared" si="11"/>
        <v>32</v>
      </c>
      <c r="AA130" s="144" t="s">
        <v>1157</v>
      </c>
      <c r="AB130" s="144" t="s">
        <v>1158</v>
      </c>
    </row>
    <row r="131" spans="1:28">
      <c r="A131" s="154">
        <v>51</v>
      </c>
      <c r="B131" s="149" t="str">
        <f t="shared" si="8"/>
        <v>Pomoći EU</v>
      </c>
      <c r="C131" s="154">
        <v>3224</v>
      </c>
      <c r="D131" s="149" t="str">
        <f t="shared" ref="D131:D194" si="14">IFERROR(VLOOKUP(C131,$U$5:$W$129,2,FALSE),"")</f>
        <v>Materijal i dijelovi za tekuće i investicijsko održavanje</v>
      </c>
      <c r="E131" s="201" t="s">
        <v>914</v>
      </c>
      <c r="F131" s="149" t="str">
        <f t="shared" si="9"/>
        <v>NOVI PODPROJEKT</v>
      </c>
      <c r="G131" s="198">
        <v>2000</v>
      </c>
      <c r="H131" s="198">
        <v>2000</v>
      </c>
      <c r="I131" s="198">
        <v>2000</v>
      </c>
      <c r="J131" s="226" t="s">
        <v>1686</v>
      </c>
      <c r="K131" s="225">
        <v>43800</v>
      </c>
      <c r="L131" s="225">
        <v>45260</v>
      </c>
      <c r="M131" s="226" t="s">
        <v>1687</v>
      </c>
      <c r="N131" s="226" t="s">
        <v>1695</v>
      </c>
      <c r="P131" s="144" t="str">
        <f t="shared" si="10"/>
        <v>322</v>
      </c>
      <c r="Q131" s="144" t="str">
        <f t="shared" si="11"/>
        <v>32</v>
      </c>
      <c r="AA131" s="144" t="s">
        <v>1159</v>
      </c>
      <c r="AB131" s="144" t="s">
        <v>1160</v>
      </c>
    </row>
    <row r="132" spans="1:28">
      <c r="A132" s="154">
        <v>51</v>
      </c>
      <c r="B132" s="149" t="str">
        <f t="shared" ref="B132:B195" si="15">IFERROR(VLOOKUP(A132,$R$6:$S$16,2,FALSE),"")</f>
        <v>Pomoći EU</v>
      </c>
      <c r="C132" s="154">
        <v>3225</v>
      </c>
      <c r="D132" s="149" t="str">
        <f t="shared" si="14"/>
        <v>Sitni inventar i auto gume</v>
      </c>
      <c r="E132" s="201" t="s">
        <v>914</v>
      </c>
      <c r="F132" s="149" t="str">
        <f t="shared" ref="F132:F195" si="16">IFERROR(VLOOKUP(E132,$AA$6:$AB$200,2,FALSE),"")</f>
        <v>NOVI PODPROJEKT</v>
      </c>
      <c r="G132" s="198">
        <v>10000</v>
      </c>
      <c r="H132" s="198">
        <v>10000</v>
      </c>
      <c r="I132" s="198">
        <v>10000</v>
      </c>
      <c r="J132" s="226" t="s">
        <v>1686</v>
      </c>
      <c r="K132" s="225">
        <v>43800</v>
      </c>
      <c r="L132" s="225">
        <v>45260</v>
      </c>
      <c r="M132" s="226" t="s">
        <v>1687</v>
      </c>
      <c r="N132" s="226" t="s">
        <v>1695</v>
      </c>
      <c r="P132" s="144" t="str">
        <f t="shared" ref="P132:P195" si="17">LEFT(C132,3)</f>
        <v>322</v>
      </c>
      <c r="Q132" s="144" t="str">
        <f t="shared" ref="Q132:Q195" si="18">LEFT(C132,2)</f>
        <v>32</v>
      </c>
      <c r="AA132" s="144" t="s">
        <v>1161</v>
      </c>
      <c r="AB132" s="144" t="s">
        <v>1162</v>
      </c>
    </row>
    <row r="133" spans="1:28">
      <c r="A133" s="154">
        <v>51</v>
      </c>
      <c r="B133" s="149" t="str">
        <f t="shared" si="15"/>
        <v>Pomoći EU</v>
      </c>
      <c r="C133" s="154">
        <v>3231</v>
      </c>
      <c r="D133" s="149" t="str">
        <f t="shared" si="14"/>
        <v>Usluge telefona, pošte i prijevoza</v>
      </c>
      <c r="E133" s="201" t="s">
        <v>914</v>
      </c>
      <c r="F133" s="149" t="str">
        <f t="shared" si="16"/>
        <v>NOVI PODPROJEKT</v>
      </c>
      <c r="G133" s="198">
        <v>6000</v>
      </c>
      <c r="H133" s="198">
        <v>6000</v>
      </c>
      <c r="I133" s="198">
        <v>6000</v>
      </c>
      <c r="J133" s="226" t="s">
        <v>1686</v>
      </c>
      <c r="K133" s="225">
        <v>43800</v>
      </c>
      <c r="L133" s="225">
        <v>45260</v>
      </c>
      <c r="M133" s="226" t="s">
        <v>1687</v>
      </c>
      <c r="N133" s="226" t="s">
        <v>1695</v>
      </c>
      <c r="P133" s="144" t="str">
        <f t="shared" si="17"/>
        <v>323</v>
      </c>
      <c r="Q133" s="144" t="str">
        <f t="shared" si="18"/>
        <v>32</v>
      </c>
      <c r="AA133" s="144" t="s">
        <v>1163</v>
      </c>
      <c r="AB133" s="144" t="s">
        <v>1164</v>
      </c>
    </row>
    <row r="134" spans="1:28">
      <c r="A134" s="154">
        <v>51</v>
      </c>
      <c r="B134" s="149" t="str">
        <f t="shared" si="15"/>
        <v>Pomoći EU</v>
      </c>
      <c r="C134" s="154">
        <v>3232</v>
      </c>
      <c r="D134" s="149" t="str">
        <f t="shared" si="14"/>
        <v>Usluge tekućeg i investicijskog održavanja</v>
      </c>
      <c r="E134" s="201" t="s">
        <v>914</v>
      </c>
      <c r="F134" s="149" t="str">
        <f t="shared" si="16"/>
        <v>NOVI PODPROJEKT</v>
      </c>
      <c r="G134" s="198">
        <v>30000</v>
      </c>
      <c r="H134" s="198">
        <v>30000</v>
      </c>
      <c r="I134" s="198">
        <v>30000</v>
      </c>
      <c r="J134" s="226" t="s">
        <v>1686</v>
      </c>
      <c r="K134" s="225">
        <v>43800</v>
      </c>
      <c r="L134" s="225">
        <v>45260</v>
      </c>
      <c r="M134" s="226" t="s">
        <v>1687</v>
      </c>
      <c r="N134" s="226" t="s">
        <v>1695</v>
      </c>
      <c r="P134" s="144" t="str">
        <f t="shared" si="17"/>
        <v>323</v>
      </c>
      <c r="Q134" s="144" t="str">
        <f t="shared" si="18"/>
        <v>32</v>
      </c>
      <c r="AA134" s="144" t="s">
        <v>1165</v>
      </c>
      <c r="AB134" s="144" t="s">
        <v>1166</v>
      </c>
    </row>
    <row r="135" spans="1:28">
      <c r="A135" s="154">
        <v>51</v>
      </c>
      <c r="B135" s="149" t="str">
        <f t="shared" si="15"/>
        <v>Pomoći EU</v>
      </c>
      <c r="C135" s="154">
        <v>3233</v>
      </c>
      <c r="D135" s="149" t="str">
        <f t="shared" si="14"/>
        <v>Usluge promidžbe i informiranja</v>
      </c>
      <c r="E135" s="201" t="s">
        <v>914</v>
      </c>
      <c r="F135" s="149" t="str">
        <f t="shared" si="16"/>
        <v>NOVI PODPROJEKT</v>
      </c>
      <c r="G135" s="198">
        <v>2000</v>
      </c>
      <c r="H135" s="198">
        <v>2000</v>
      </c>
      <c r="I135" s="198">
        <v>2000</v>
      </c>
      <c r="J135" s="226" t="s">
        <v>1686</v>
      </c>
      <c r="K135" s="225">
        <v>43800</v>
      </c>
      <c r="L135" s="225">
        <v>45260</v>
      </c>
      <c r="M135" s="226" t="s">
        <v>1687</v>
      </c>
      <c r="N135" s="226" t="s">
        <v>1695</v>
      </c>
      <c r="P135" s="144" t="str">
        <f t="shared" si="17"/>
        <v>323</v>
      </c>
      <c r="Q135" s="144" t="str">
        <f t="shared" si="18"/>
        <v>32</v>
      </c>
      <c r="AA135" s="144" t="s">
        <v>1167</v>
      </c>
      <c r="AB135" s="144" t="s">
        <v>1168</v>
      </c>
    </row>
    <row r="136" spans="1:28">
      <c r="A136" s="154">
        <v>51</v>
      </c>
      <c r="B136" s="149" t="str">
        <f t="shared" si="15"/>
        <v>Pomoći EU</v>
      </c>
      <c r="C136" s="154">
        <v>3235</v>
      </c>
      <c r="D136" s="149" t="str">
        <f t="shared" si="14"/>
        <v>Zakupnine i najamnine</v>
      </c>
      <c r="E136" s="201" t="s">
        <v>914</v>
      </c>
      <c r="F136" s="149" t="str">
        <f t="shared" si="16"/>
        <v>NOVI PODPROJEKT</v>
      </c>
      <c r="G136" s="198">
        <v>2000</v>
      </c>
      <c r="H136" s="198">
        <v>2000</v>
      </c>
      <c r="I136" s="198">
        <v>2000</v>
      </c>
      <c r="J136" s="226" t="s">
        <v>1686</v>
      </c>
      <c r="K136" s="225">
        <v>43800</v>
      </c>
      <c r="L136" s="225">
        <v>45260</v>
      </c>
      <c r="M136" s="226" t="s">
        <v>1687</v>
      </c>
      <c r="N136" s="226" t="s">
        <v>1695</v>
      </c>
      <c r="P136" s="144" t="str">
        <f t="shared" si="17"/>
        <v>323</v>
      </c>
      <c r="Q136" s="144" t="str">
        <f t="shared" si="18"/>
        <v>32</v>
      </c>
      <c r="AA136" s="144" t="s">
        <v>1169</v>
      </c>
      <c r="AB136" s="144" t="s">
        <v>1170</v>
      </c>
    </row>
    <row r="137" spans="1:28">
      <c r="A137" s="154">
        <v>51</v>
      </c>
      <c r="B137" s="149" t="str">
        <f t="shared" si="15"/>
        <v>Pomoći EU</v>
      </c>
      <c r="C137" s="154">
        <v>3237</v>
      </c>
      <c r="D137" s="149" t="str">
        <f t="shared" si="14"/>
        <v>Intelektualne i osobne usluge</v>
      </c>
      <c r="E137" s="201" t="s">
        <v>914</v>
      </c>
      <c r="F137" s="149" t="str">
        <f t="shared" si="16"/>
        <v>NOVI PODPROJEKT</v>
      </c>
      <c r="G137" s="198">
        <v>24000</v>
      </c>
      <c r="H137" s="198">
        <v>24000</v>
      </c>
      <c r="I137" s="198">
        <v>24000</v>
      </c>
      <c r="J137" s="226" t="s">
        <v>1686</v>
      </c>
      <c r="K137" s="225">
        <v>43800</v>
      </c>
      <c r="L137" s="225">
        <v>45260</v>
      </c>
      <c r="M137" s="226" t="s">
        <v>1687</v>
      </c>
      <c r="N137" s="226" t="s">
        <v>1695</v>
      </c>
      <c r="P137" s="144" t="str">
        <f t="shared" si="17"/>
        <v>323</v>
      </c>
      <c r="Q137" s="144" t="str">
        <f t="shared" si="18"/>
        <v>32</v>
      </c>
      <c r="AA137" s="144" t="s">
        <v>1171</v>
      </c>
      <c r="AB137" s="144" t="s">
        <v>1172</v>
      </c>
    </row>
    <row r="138" spans="1:28">
      <c r="A138" s="154">
        <v>51</v>
      </c>
      <c r="B138" s="149" t="str">
        <f t="shared" si="15"/>
        <v>Pomoći EU</v>
      </c>
      <c r="C138" s="154">
        <v>3238</v>
      </c>
      <c r="D138" s="149" t="str">
        <f t="shared" si="14"/>
        <v>Računalne usluge</v>
      </c>
      <c r="E138" s="201" t="s">
        <v>914</v>
      </c>
      <c r="F138" s="149" t="str">
        <f t="shared" si="16"/>
        <v>NOVI PODPROJEKT</v>
      </c>
      <c r="G138" s="198">
        <v>4000</v>
      </c>
      <c r="H138" s="198">
        <v>4000</v>
      </c>
      <c r="I138" s="198">
        <v>4000</v>
      </c>
      <c r="J138" s="226" t="s">
        <v>1686</v>
      </c>
      <c r="K138" s="225">
        <v>43800</v>
      </c>
      <c r="L138" s="225">
        <v>45260</v>
      </c>
      <c r="M138" s="226" t="s">
        <v>1687</v>
      </c>
      <c r="N138" s="226" t="s">
        <v>1695</v>
      </c>
      <c r="P138" s="144" t="str">
        <f t="shared" si="17"/>
        <v>323</v>
      </c>
      <c r="Q138" s="144" t="str">
        <f t="shared" si="18"/>
        <v>32</v>
      </c>
      <c r="AA138" s="144" t="s">
        <v>1173</v>
      </c>
      <c r="AB138" s="144" t="s">
        <v>1174</v>
      </c>
    </row>
    <row r="139" spans="1:28">
      <c r="A139" s="154">
        <v>51</v>
      </c>
      <c r="B139" s="149" t="str">
        <f t="shared" si="15"/>
        <v>Pomoći EU</v>
      </c>
      <c r="C139" s="154">
        <v>3239</v>
      </c>
      <c r="D139" s="149" t="str">
        <f t="shared" si="14"/>
        <v>Ostale usluge</v>
      </c>
      <c r="E139" s="201" t="s">
        <v>914</v>
      </c>
      <c r="F139" s="149" t="str">
        <f t="shared" si="16"/>
        <v>NOVI PODPROJEKT</v>
      </c>
      <c r="G139" s="198">
        <v>6000</v>
      </c>
      <c r="H139" s="198">
        <v>6000</v>
      </c>
      <c r="I139" s="198">
        <v>6000</v>
      </c>
      <c r="J139" s="226" t="s">
        <v>1686</v>
      </c>
      <c r="K139" s="225">
        <v>43800</v>
      </c>
      <c r="L139" s="225">
        <v>45260</v>
      </c>
      <c r="M139" s="226" t="s">
        <v>1687</v>
      </c>
      <c r="N139" s="226" t="s">
        <v>1695</v>
      </c>
      <c r="P139" s="144" t="str">
        <f t="shared" si="17"/>
        <v>323</v>
      </c>
      <c r="Q139" s="144" t="str">
        <f t="shared" si="18"/>
        <v>32</v>
      </c>
      <c r="AA139" s="144" t="s">
        <v>1175</v>
      </c>
      <c r="AB139" s="144" t="s">
        <v>1176</v>
      </c>
    </row>
    <row r="140" spans="1:28">
      <c r="A140" s="154">
        <v>51</v>
      </c>
      <c r="B140" s="149" t="str">
        <f t="shared" si="15"/>
        <v>Pomoći EU</v>
      </c>
      <c r="C140" s="154">
        <v>3241</v>
      </c>
      <c r="D140" s="149" t="str">
        <f t="shared" si="14"/>
        <v>Naknade troškova osobama izvan radnog odnosa</v>
      </c>
      <c r="E140" s="201" t="s">
        <v>914</v>
      </c>
      <c r="F140" s="149" t="str">
        <f t="shared" si="16"/>
        <v>NOVI PODPROJEKT</v>
      </c>
      <c r="G140" s="198">
        <v>12000</v>
      </c>
      <c r="H140" s="198">
        <v>12000</v>
      </c>
      <c r="I140" s="198">
        <v>12000</v>
      </c>
      <c r="J140" s="226" t="s">
        <v>1686</v>
      </c>
      <c r="K140" s="225">
        <v>43800</v>
      </c>
      <c r="L140" s="225">
        <v>45260</v>
      </c>
      <c r="M140" s="226" t="s">
        <v>1687</v>
      </c>
      <c r="N140" s="226" t="s">
        <v>1695</v>
      </c>
      <c r="P140" s="144" t="str">
        <f t="shared" si="17"/>
        <v>324</v>
      </c>
      <c r="Q140" s="144" t="str">
        <f t="shared" si="18"/>
        <v>32</v>
      </c>
      <c r="AA140" s="144" t="s">
        <v>1177</v>
      </c>
      <c r="AB140" s="144" t="s">
        <v>1178</v>
      </c>
    </row>
    <row r="141" spans="1:28">
      <c r="A141" s="154">
        <v>51</v>
      </c>
      <c r="B141" s="149" t="str">
        <f t="shared" si="15"/>
        <v>Pomoći EU</v>
      </c>
      <c r="C141" s="154">
        <v>3293</v>
      </c>
      <c r="D141" s="149" t="str">
        <f t="shared" si="14"/>
        <v>Reprezentacija</v>
      </c>
      <c r="E141" s="201" t="s">
        <v>914</v>
      </c>
      <c r="F141" s="149" t="str">
        <f t="shared" si="16"/>
        <v>NOVI PODPROJEKT</v>
      </c>
      <c r="G141" s="198">
        <v>60000</v>
      </c>
      <c r="H141" s="198">
        <v>60000</v>
      </c>
      <c r="I141" s="198">
        <v>60000</v>
      </c>
      <c r="J141" s="226" t="s">
        <v>1686</v>
      </c>
      <c r="K141" s="225">
        <v>43800</v>
      </c>
      <c r="L141" s="225">
        <v>45260</v>
      </c>
      <c r="M141" s="226" t="s">
        <v>1687</v>
      </c>
      <c r="N141" s="226" t="s">
        <v>1695</v>
      </c>
      <c r="P141" s="144" t="str">
        <f t="shared" si="17"/>
        <v>329</v>
      </c>
      <c r="Q141" s="144" t="str">
        <f t="shared" si="18"/>
        <v>32</v>
      </c>
      <c r="AA141" s="144" t="s">
        <v>1179</v>
      </c>
      <c r="AB141" s="144" t="s">
        <v>1180</v>
      </c>
    </row>
    <row r="142" spans="1:28">
      <c r="A142" s="154">
        <v>51</v>
      </c>
      <c r="B142" s="149" t="str">
        <f t="shared" si="15"/>
        <v>Pomoći EU</v>
      </c>
      <c r="C142" s="154">
        <v>3431</v>
      </c>
      <c r="D142" s="149" t="str">
        <f t="shared" si="14"/>
        <v>Bankarske usluge i usluge platnog prometa</v>
      </c>
      <c r="E142" s="201" t="s">
        <v>914</v>
      </c>
      <c r="F142" s="149" t="str">
        <f t="shared" si="16"/>
        <v>NOVI PODPROJEKT</v>
      </c>
      <c r="G142" s="198">
        <v>2000</v>
      </c>
      <c r="H142" s="198">
        <v>2000</v>
      </c>
      <c r="I142" s="198">
        <v>2000</v>
      </c>
      <c r="J142" s="226" t="s">
        <v>1686</v>
      </c>
      <c r="K142" s="225">
        <v>43800</v>
      </c>
      <c r="L142" s="225">
        <v>45260</v>
      </c>
      <c r="M142" s="226" t="s">
        <v>1687</v>
      </c>
      <c r="N142" s="226" t="s">
        <v>1695</v>
      </c>
      <c r="P142" s="144" t="str">
        <f t="shared" si="17"/>
        <v>343</v>
      </c>
      <c r="Q142" s="144" t="str">
        <f t="shared" si="18"/>
        <v>34</v>
      </c>
      <c r="AA142" s="144" t="s">
        <v>1181</v>
      </c>
      <c r="AB142" s="144" t="s">
        <v>1182</v>
      </c>
    </row>
    <row r="143" spans="1:28">
      <c r="A143" s="154">
        <v>51</v>
      </c>
      <c r="B143" s="149" t="str">
        <f t="shared" si="15"/>
        <v>Pomoći EU</v>
      </c>
      <c r="C143" s="154">
        <v>4221</v>
      </c>
      <c r="D143" s="149" t="str">
        <f t="shared" si="14"/>
        <v>Uredska oprema i namještaj</v>
      </c>
      <c r="E143" s="201" t="s">
        <v>914</v>
      </c>
      <c r="F143" s="149" t="str">
        <f t="shared" si="16"/>
        <v>NOVI PODPROJEKT</v>
      </c>
      <c r="G143" s="198">
        <v>12000</v>
      </c>
      <c r="H143" s="198">
        <v>12000</v>
      </c>
      <c r="I143" s="198">
        <v>12000</v>
      </c>
      <c r="J143" s="226" t="s">
        <v>1686</v>
      </c>
      <c r="K143" s="225">
        <v>43800</v>
      </c>
      <c r="L143" s="225">
        <v>45260</v>
      </c>
      <c r="M143" s="226" t="s">
        <v>1687</v>
      </c>
      <c r="N143" s="226" t="s">
        <v>1695</v>
      </c>
      <c r="P143" s="144" t="str">
        <f t="shared" si="17"/>
        <v>422</v>
      </c>
      <c r="Q143" s="144" t="str">
        <f t="shared" si="18"/>
        <v>42</v>
      </c>
      <c r="AA143" s="144" t="s">
        <v>1183</v>
      </c>
      <c r="AB143" s="144" t="s">
        <v>1184</v>
      </c>
    </row>
    <row r="144" spans="1:28">
      <c r="A144" s="154">
        <v>51</v>
      </c>
      <c r="B144" s="149" t="str">
        <f t="shared" si="15"/>
        <v>Pomoći EU</v>
      </c>
      <c r="C144" s="154">
        <v>4222</v>
      </c>
      <c r="D144" s="149" t="str">
        <f t="shared" si="14"/>
        <v>Komunikacijska oprema</v>
      </c>
      <c r="E144" s="201" t="s">
        <v>914</v>
      </c>
      <c r="F144" s="149" t="str">
        <f t="shared" si="16"/>
        <v>NOVI PODPROJEKT</v>
      </c>
      <c r="G144" s="198">
        <v>110000</v>
      </c>
      <c r="H144" s="198">
        <v>110000</v>
      </c>
      <c r="I144" s="198">
        <v>110000</v>
      </c>
      <c r="J144" s="226" t="s">
        <v>1686</v>
      </c>
      <c r="K144" s="225">
        <v>43800</v>
      </c>
      <c r="L144" s="225">
        <v>45260</v>
      </c>
      <c r="M144" s="226" t="s">
        <v>1687</v>
      </c>
      <c r="N144" s="226" t="s">
        <v>1695</v>
      </c>
      <c r="P144" s="144" t="str">
        <f t="shared" si="17"/>
        <v>422</v>
      </c>
      <c r="Q144" s="144" t="str">
        <f t="shared" si="18"/>
        <v>42</v>
      </c>
      <c r="AA144" s="144" t="s">
        <v>1185</v>
      </c>
      <c r="AB144" s="144" t="s">
        <v>1186</v>
      </c>
    </row>
    <row r="145" spans="1:28">
      <c r="A145" s="154">
        <v>51</v>
      </c>
      <c r="B145" s="149" t="str">
        <f t="shared" si="15"/>
        <v>Pomoći EU</v>
      </c>
      <c r="C145" s="154">
        <v>4224</v>
      </c>
      <c r="D145" s="149" t="str">
        <f t="shared" si="14"/>
        <v>Medicinska i laboratorijska oprema</v>
      </c>
      <c r="E145" s="201" t="s">
        <v>914</v>
      </c>
      <c r="F145" s="149" t="str">
        <f t="shared" si="16"/>
        <v>NOVI PODPROJEKT</v>
      </c>
      <c r="G145" s="198">
        <v>10000</v>
      </c>
      <c r="H145" s="198">
        <v>10000</v>
      </c>
      <c r="I145" s="198">
        <v>10000</v>
      </c>
      <c r="J145" s="226" t="s">
        <v>1686</v>
      </c>
      <c r="K145" s="225">
        <v>43800</v>
      </c>
      <c r="L145" s="225">
        <v>45260</v>
      </c>
      <c r="M145" s="226" t="s">
        <v>1687</v>
      </c>
      <c r="N145" s="226" t="s">
        <v>1695</v>
      </c>
      <c r="P145" s="144" t="str">
        <f t="shared" si="17"/>
        <v>422</v>
      </c>
      <c r="Q145" s="144" t="str">
        <f t="shared" si="18"/>
        <v>42</v>
      </c>
      <c r="AA145" s="144" t="s">
        <v>1187</v>
      </c>
      <c r="AB145" s="144" t="s">
        <v>1188</v>
      </c>
    </row>
    <row r="146" spans="1:28">
      <c r="A146" s="154">
        <v>52</v>
      </c>
      <c r="B146" s="149" t="str">
        <f t="shared" si="15"/>
        <v>Ostale pomoći</v>
      </c>
      <c r="C146" s="154">
        <v>3211</v>
      </c>
      <c r="D146" s="149" t="str">
        <f t="shared" si="14"/>
        <v>Službena putovanja</v>
      </c>
      <c r="E146" s="201" t="s">
        <v>914</v>
      </c>
      <c r="F146" s="149" t="str">
        <f t="shared" si="16"/>
        <v>NOVI PODPROJEKT</v>
      </c>
      <c r="G146" s="198">
        <v>20000</v>
      </c>
      <c r="H146" s="198">
        <v>25000</v>
      </c>
      <c r="I146" s="198">
        <v>30000</v>
      </c>
      <c r="J146" s="226" t="s">
        <v>1688</v>
      </c>
      <c r="K146" s="225">
        <v>43374</v>
      </c>
      <c r="L146" s="225">
        <v>45199</v>
      </c>
      <c r="M146" s="226" t="s">
        <v>1689</v>
      </c>
      <c r="N146" s="226" t="s">
        <v>1696</v>
      </c>
      <c r="P146" s="144" t="str">
        <f t="shared" si="17"/>
        <v>321</v>
      </c>
      <c r="Q146" s="144" t="str">
        <f t="shared" si="18"/>
        <v>32</v>
      </c>
      <c r="AA146" s="144" t="s">
        <v>1189</v>
      </c>
      <c r="AB146" s="144" t="s">
        <v>1190</v>
      </c>
    </row>
    <row r="147" spans="1:28">
      <c r="A147" s="154">
        <v>52</v>
      </c>
      <c r="B147" s="149" t="str">
        <f t="shared" si="15"/>
        <v>Ostale pomoći</v>
      </c>
      <c r="C147" s="154">
        <v>3111</v>
      </c>
      <c r="D147" s="149" t="str">
        <f t="shared" si="14"/>
        <v>Plaće za redovan rad</v>
      </c>
      <c r="E147" s="201" t="s">
        <v>914</v>
      </c>
      <c r="F147" s="149" t="str">
        <f t="shared" si="16"/>
        <v>NOVI PODPROJEKT</v>
      </c>
      <c r="G147" s="198">
        <v>80000</v>
      </c>
      <c r="H147" s="198">
        <v>0</v>
      </c>
      <c r="I147" s="198">
        <v>0</v>
      </c>
      <c r="J147" s="226" t="s">
        <v>1690</v>
      </c>
      <c r="K147" s="225">
        <v>43647</v>
      </c>
      <c r="L147" s="225" t="s">
        <v>1675</v>
      </c>
      <c r="M147" s="226" t="s">
        <v>1691</v>
      </c>
      <c r="N147" s="226" t="s">
        <v>1697</v>
      </c>
      <c r="P147" s="144" t="str">
        <f t="shared" si="17"/>
        <v>311</v>
      </c>
      <c r="Q147" s="144" t="str">
        <f t="shared" si="18"/>
        <v>31</v>
      </c>
      <c r="AA147" s="144" t="s">
        <v>1191</v>
      </c>
      <c r="AB147" s="144" t="s">
        <v>1192</v>
      </c>
    </row>
    <row r="148" spans="1:28">
      <c r="A148" s="154">
        <v>52</v>
      </c>
      <c r="B148" s="149" t="str">
        <f t="shared" si="15"/>
        <v>Ostale pomoći</v>
      </c>
      <c r="C148" s="154">
        <v>3121</v>
      </c>
      <c r="D148" s="149" t="str">
        <f t="shared" si="14"/>
        <v>Ostali rashodi za zaposlene</v>
      </c>
      <c r="E148" s="201" t="s">
        <v>914</v>
      </c>
      <c r="F148" s="149" t="str">
        <f t="shared" si="16"/>
        <v>NOVI PODPROJEKT</v>
      </c>
      <c r="G148" s="198">
        <v>5000</v>
      </c>
      <c r="H148" s="198">
        <v>0</v>
      </c>
      <c r="I148" s="198">
        <v>0</v>
      </c>
      <c r="J148" s="226" t="s">
        <v>1690</v>
      </c>
      <c r="K148" s="225">
        <v>43647</v>
      </c>
      <c r="L148" s="225" t="s">
        <v>1675</v>
      </c>
      <c r="M148" s="226" t="s">
        <v>1691</v>
      </c>
      <c r="N148" s="226" t="s">
        <v>1697</v>
      </c>
      <c r="P148" s="144" t="str">
        <f t="shared" si="17"/>
        <v>312</v>
      </c>
      <c r="Q148" s="144" t="str">
        <f t="shared" si="18"/>
        <v>31</v>
      </c>
      <c r="AA148" s="144" t="s">
        <v>1193</v>
      </c>
      <c r="AB148" s="144" t="s">
        <v>1194</v>
      </c>
    </row>
    <row r="149" spans="1:28">
      <c r="A149" s="154">
        <v>52</v>
      </c>
      <c r="B149" s="149" t="str">
        <f t="shared" si="15"/>
        <v>Ostale pomoći</v>
      </c>
      <c r="C149" s="154">
        <v>3132</v>
      </c>
      <c r="D149" s="149" t="str">
        <f t="shared" si="14"/>
        <v>Doprinosi za obvezno zdravstveno osiguranje</v>
      </c>
      <c r="E149" s="201" t="s">
        <v>914</v>
      </c>
      <c r="F149" s="149" t="str">
        <f t="shared" si="16"/>
        <v>NOVI PODPROJEKT</v>
      </c>
      <c r="G149" s="198">
        <v>20000</v>
      </c>
      <c r="H149" s="198">
        <v>0</v>
      </c>
      <c r="I149" s="198">
        <v>0</v>
      </c>
      <c r="J149" s="226" t="s">
        <v>1690</v>
      </c>
      <c r="K149" s="225">
        <v>43647</v>
      </c>
      <c r="L149" s="225" t="s">
        <v>1675</v>
      </c>
      <c r="M149" s="226" t="s">
        <v>1691</v>
      </c>
      <c r="N149" s="226" t="s">
        <v>1697</v>
      </c>
      <c r="P149" s="144" t="str">
        <f t="shared" si="17"/>
        <v>313</v>
      </c>
      <c r="Q149" s="144" t="str">
        <f t="shared" si="18"/>
        <v>31</v>
      </c>
      <c r="AA149" s="144" t="s">
        <v>1195</v>
      </c>
      <c r="AB149" s="144" t="s">
        <v>370</v>
      </c>
    </row>
    <row r="150" spans="1:28">
      <c r="A150" s="154">
        <v>12</v>
      </c>
      <c r="B150" s="149" t="str">
        <f t="shared" si="15"/>
        <v>Sredstva učešća za pomoći</v>
      </c>
      <c r="C150" s="154">
        <v>3111</v>
      </c>
      <c r="D150" s="149" t="str">
        <f t="shared" si="14"/>
        <v>Plaće za redovan rad</v>
      </c>
      <c r="E150" s="201" t="s">
        <v>1195</v>
      </c>
      <c r="F150" s="149" t="str">
        <f t="shared" si="16"/>
        <v>Vrhunska istraživanja Znanstvenih centara izvrsnosti</v>
      </c>
      <c r="G150" s="198">
        <v>194732</v>
      </c>
      <c r="H150" s="198">
        <v>210771</v>
      </c>
      <c r="I150" s="198">
        <v>163083.79999999999</v>
      </c>
      <c r="J150" s="226"/>
      <c r="K150" s="225">
        <v>43009</v>
      </c>
      <c r="L150" s="225">
        <v>44834</v>
      </c>
      <c r="M150" s="226" t="s">
        <v>1699</v>
      </c>
      <c r="N150" s="226" t="s">
        <v>1698</v>
      </c>
      <c r="P150" s="144" t="str">
        <f t="shared" si="17"/>
        <v>311</v>
      </c>
      <c r="Q150" s="144" t="str">
        <f t="shared" si="18"/>
        <v>31</v>
      </c>
      <c r="AA150" s="144" t="s">
        <v>1196</v>
      </c>
      <c r="AB150" s="144" t="s">
        <v>371</v>
      </c>
    </row>
    <row r="151" spans="1:28">
      <c r="A151" s="154">
        <v>12</v>
      </c>
      <c r="B151" s="149" t="str">
        <f t="shared" si="15"/>
        <v>Sredstva učešća za pomoći</v>
      </c>
      <c r="C151" s="154">
        <v>3132</v>
      </c>
      <c r="D151" s="149" t="str">
        <f t="shared" si="14"/>
        <v>Doprinosi za obvezno zdravstveno osiguranje</v>
      </c>
      <c r="E151" s="201" t="s">
        <v>1195</v>
      </c>
      <c r="F151" s="149" t="str">
        <f t="shared" si="16"/>
        <v>Vrhunska istraživanja Znanstvenih centara izvrsnosti</v>
      </c>
      <c r="G151" s="198">
        <v>32131</v>
      </c>
      <c r="H151" s="198">
        <v>34777.199999999997</v>
      </c>
      <c r="I151" s="198">
        <v>26909</v>
      </c>
      <c r="J151" s="226"/>
      <c r="K151" s="225">
        <v>43009</v>
      </c>
      <c r="L151" s="225">
        <v>44834</v>
      </c>
      <c r="M151" s="226" t="s">
        <v>1699</v>
      </c>
      <c r="N151" s="226" t="s">
        <v>1698</v>
      </c>
      <c r="P151" s="144" t="str">
        <f t="shared" si="17"/>
        <v>313</v>
      </c>
      <c r="Q151" s="144" t="str">
        <f t="shared" si="18"/>
        <v>31</v>
      </c>
      <c r="AA151" s="144" t="s">
        <v>1197</v>
      </c>
      <c r="AB151" s="144" t="s">
        <v>1198</v>
      </c>
    </row>
    <row r="152" spans="1:28">
      <c r="A152" s="154">
        <v>12</v>
      </c>
      <c r="B152" s="149" t="str">
        <f t="shared" si="15"/>
        <v>Sredstva učešća za pomoći</v>
      </c>
      <c r="C152" s="154">
        <v>3211</v>
      </c>
      <c r="D152" s="149" t="str">
        <f t="shared" si="14"/>
        <v>Službena putovanja</v>
      </c>
      <c r="E152" s="201" t="s">
        <v>1195</v>
      </c>
      <c r="F152" s="149" t="str">
        <f t="shared" si="16"/>
        <v>Vrhunska istraživanja Znanstvenih centara izvrsnosti</v>
      </c>
      <c r="G152" s="198">
        <v>35831</v>
      </c>
      <c r="H152" s="198">
        <v>37350</v>
      </c>
      <c r="I152" s="198">
        <v>26907</v>
      </c>
      <c r="J152" s="226"/>
      <c r="K152" s="225">
        <v>43009</v>
      </c>
      <c r="L152" s="225">
        <v>44834</v>
      </c>
      <c r="M152" s="226" t="s">
        <v>1699</v>
      </c>
      <c r="N152" s="226" t="s">
        <v>1698</v>
      </c>
      <c r="P152" s="144" t="str">
        <f t="shared" si="17"/>
        <v>321</v>
      </c>
      <c r="Q152" s="144" t="str">
        <f t="shared" si="18"/>
        <v>32</v>
      </c>
      <c r="AA152" s="144" t="s">
        <v>1199</v>
      </c>
      <c r="AB152" s="144" t="s">
        <v>1200</v>
      </c>
    </row>
    <row r="153" spans="1:28">
      <c r="A153" s="154">
        <v>12</v>
      </c>
      <c r="B153" s="149" t="str">
        <f t="shared" si="15"/>
        <v>Sredstva učešća za pomoći</v>
      </c>
      <c r="C153" s="154">
        <v>3213</v>
      </c>
      <c r="D153" s="149" t="str">
        <f t="shared" si="14"/>
        <v>Stručno usavršavanje zaposlenika</v>
      </c>
      <c r="E153" s="201" t="s">
        <v>1195</v>
      </c>
      <c r="F153" s="149" t="str">
        <f t="shared" si="16"/>
        <v>Vrhunska istraživanja Znanstvenih centara izvrsnosti</v>
      </c>
      <c r="G153" s="198">
        <v>3938</v>
      </c>
      <c r="H153" s="198">
        <v>3278</v>
      </c>
      <c r="I153" s="198">
        <v>1969</v>
      </c>
      <c r="J153" s="226"/>
      <c r="K153" s="225">
        <v>43009</v>
      </c>
      <c r="L153" s="225">
        <v>44834</v>
      </c>
      <c r="M153" s="226" t="s">
        <v>1699</v>
      </c>
      <c r="N153" s="226" t="s">
        <v>1698</v>
      </c>
      <c r="P153" s="144" t="str">
        <f t="shared" si="17"/>
        <v>321</v>
      </c>
      <c r="Q153" s="144" t="str">
        <f t="shared" si="18"/>
        <v>32</v>
      </c>
      <c r="AA153" s="144" t="s">
        <v>1201</v>
      </c>
      <c r="AB153" s="144" t="s">
        <v>1202</v>
      </c>
    </row>
    <row r="154" spans="1:28">
      <c r="A154" s="154">
        <v>12</v>
      </c>
      <c r="B154" s="149" t="str">
        <f t="shared" si="15"/>
        <v>Sredstva učešća za pomoći</v>
      </c>
      <c r="C154" s="154">
        <v>3221</v>
      </c>
      <c r="D154" s="149" t="str">
        <f t="shared" si="14"/>
        <v>Uredski materijal i ostali materijalni rashodi</v>
      </c>
      <c r="E154" s="201" t="s">
        <v>1195</v>
      </c>
      <c r="F154" s="149" t="str">
        <f t="shared" si="16"/>
        <v>Vrhunska istraživanja Znanstvenih centara izvrsnosti</v>
      </c>
      <c r="G154" s="198">
        <v>85567</v>
      </c>
      <c r="H154" s="198">
        <v>85567</v>
      </c>
      <c r="I154" s="198">
        <v>64175</v>
      </c>
      <c r="J154" s="226"/>
      <c r="K154" s="225">
        <v>43009</v>
      </c>
      <c r="L154" s="225">
        <v>44834</v>
      </c>
      <c r="M154" s="226" t="s">
        <v>1699</v>
      </c>
      <c r="N154" s="226" t="s">
        <v>1698</v>
      </c>
      <c r="P154" s="144" t="str">
        <f t="shared" si="17"/>
        <v>322</v>
      </c>
      <c r="Q154" s="144" t="str">
        <f t="shared" si="18"/>
        <v>32</v>
      </c>
      <c r="AA154" s="144" t="s">
        <v>1203</v>
      </c>
      <c r="AB154" s="144" t="s">
        <v>1204</v>
      </c>
    </row>
    <row r="155" spans="1:28">
      <c r="A155" s="154">
        <v>12</v>
      </c>
      <c r="B155" s="149" t="str">
        <f t="shared" si="15"/>
        <v>Sredstva učešća za pomoći</v>
      </c>
      <c r="C155" s="154">
        <v>3223</v>
      </c>
      <c r="D155" s="149" t="str">
        <f t="shared" si="14"/>
        <v>Energija</v>
      </c>
      <c r="E155" s="201" t="s">
        <v>1195</v>
      </c>
      <c r="F155" s="149" t="str">
        <f t="shared" si="16"/>
        <v>Vrhunska istraživanja Znanstvenih centara izvrsnosti</v>
      </c>
      <c r="G155" s="198">
        <v>4500</v>
      </c>
      <c r="H155" s="198">
        <v>0</v>
      </c>
      <c r="I155" s="198">
        <v>0</v>
      </c>
      <c r="J155" s="226"/>
      <c r="K155" s="225">
        <v>43009</v>
      </c>
      <c r="L155" s="225">
        <v>44834</v>
      </c>
      <c r="M155" s="226" t="s">
        <v>1699</v>
      </c>
      <c r="N155" s="226" t="s">
        <v>1698</v>
      </c>
      <c r="P155" s="144" t="str">
        <f t="shared" si="17"/>
        <v>322</v>
      </c>
      <c r="Q155" s="144" t="str">
        <f t="shared" si="18"/>
        <v>32</v>
      </c>
      <c r="AA155" s="144" t="s">
        <v>1205</v>
      </c>
      <c r="AB155" s="144" t="s">
        <v>1206</v>
      </c>
    </row>
    <row r="156" spans="1:28">
      <c r="A156" s="154">
        <v>12</v>
      </c>
      <c r="B156" s="149" t="str">
        <f t="shared" si="15"/>
        <v>Sredstva učešća za pomoći</v>
      </c>
      <c r="C156" s="154">
        <v>3231</v>
      </c>
      <c r="D156" s="149" t="str">
        <f t="shared" si="14"/>
        <v>Usluge telefona, pošte i prijevoza</v>
      </c>
      <c r="E156" s="201" t="s">
        <v>1195</v>
      </c>
      <c r="F156" s="149" t="str">
        <f t="shared" si="16"/>
        <v>Vrhunska istraživanja Znanstvenih centara izvrsnosti</v>
      </c>
      <c r="G156" s="198">
        <v>2880</v>
      </c>
      <c r="H156" s="198">
        <v>2880</v>
      </c>
      <c r="I156" s="198">
        <v>2160</v>
      </c>
      <c r="J156" s="226"/>
      <c r="K156" s="225">
        <v>43009</v>
      </c>
      <c r="L156" s="225">
        <v>44834</v>
      </c>
      <c r="M156" s="226" t="s">
        <v>1699</v>
      </c>
      <c r="N156" s="226" t="s">
        <v>1698</v>
      </c>
      <c r="P156" s="144" t="str">
        <f t="shared" si="17"/>
        <v>323</v>
      </c>
      <c r="Q156" s="144" t="str">
        <f t="shared" si="18"/>
        <v>32</v>
      </c>
      <c r="AA156" s="144" t="s">
        <v>1207</v>
      </c>
      <c r="AB156" s="144" t="s">
        <v>1208</v>
      </c>
    </row>
    <row r="157" spans="1:28">
      <c r="A157" s="154">
        <v>12</v>
      </c>
      <c r="B157" s="149" t="str">
        <f t="shared" si="15"/>
        <v>Sredstva učešća za pomoći</v>
      </c>
      <c r="C157" s="154">
        <v>3237</v>
      </c>
      <c r="D157" s="149" t="str">
        <f t="shared" si="14"/>
        <v>Intelektualne i osobne usluge</v>
      </c>
      <c r="E157" s="201" t="s">
        <v>1195</v>
      </c>
      <c r="F157" s="149" t="str">
        <f t="shared" si="16"/>
        <v>Vrhunska istraživanja Znanstvenih centara izvrsnosti</v>
      </c>
      <c r="G157" s="198">
        <v>3000</v>
      </c>
      <c r="H157" s="198">
        <v>6750</v>
      </c>
      <c r="I157" s="198">
        <v>16500</v>
      </c>
      <c r="J157" s="226"/>
      <c r="K157" s="225">
        <v>43009</v>
      </c>
      <c r="L157" s="225">
        <v>44834</v>
      </c>
      <c r="M157" s="226" t="s">
        <v>1699</v>
      </c>
      <c r="N157" s="226" t="s">
        <v>1698</v>
      </c>
      <c r="P157" s="144" t="str">
        <f t="shared" si="17"/>
        <v>323</v>
      </c>
      <c r="Q157" s="144" t="str">
        <f t="shared" si="18"/>
        <v>32</v>
      </c>
      <c r="AA157" s="144" t="s">
        <v>1209</v>
      </c>
      <c r="AB157" s="144" t="s">
        <v>1210</v>
      </c>
    </row>
    <row r="158" spans="1:28">
      <c r="A158" s="154">
        <v>12</v>
      </c>
      <c r="B158" s="149" t="str">
        <f t="shared" si="15"/>
        <v>Sredstva učešća za pomoći</v>
      </c>
      <c r="C158" s="154">
        <v>3239</v>
      </c>
      <c r="D158" s="149" t="str">
        <f t="shared" si="14"/>
        <v>Ostale usluge</v>
      </c>
      <c r="E158" s="201" t="s">
        <v>1195</v>
      </c>
      <c r="F158" s="149" t="str">
        <f t="shared" si="16"/>
        <v>Vrhunska istraživanja Znanstvenih centara izvrsnosti</v>
      </c>
      <c r="G158" s="198">
        <v>37500</v>
      </c>
      <c r="H158" s="198">
        <v>45670</v>
      </c>
      <c r="I158" s="198">
        <v>45670</v>
      </c>
      <c r="J158" s="226"/>
      <c r="K158" s="225">
        <v>43009</v>
      </c>
      <c r="L158" s="225">
        <v>44834</v>
      </c>
      <c r="M158" s="226" t="s">
        <v>1699</v>
      </c>
      <c r="N158" s="226" t="s">
        <v>1698</v>
      </c>
      <c r="P158" s="144" t="str">
        <f t="shared" si="17"/>
        <v>323</v>
      </c>
      <c r="Q158" s="144" t="str">
        <f t="shared" si="18"/>
        <v>32</v>
      </c>
      <c r="AA158" s="144" t="s">
        <v>1211</v>
      </c>
      <c r="AB158" s="144" t="s">
        <v>1212</v>
      </c>
    </row>
    <row r="159" spans="1:28">
      <c r="A159" s="154">
        <v>12</v>
      </c>
      <c r="B159" s="149" t="str">
        <f t="shared" si="15"/>
        <v>Sredstva učešća za pomoći</v>
      </c>
      <c r="C159" s="154">
        <v>3693</v>
      </c>
      <c r="D159" s="149" t="str">
        <f t="shared" si="14"/>
        <v>Tekući prijenosi između proračunskih korisnika istog proraču</v>
      </c>
      <c r="E159" s="201" t="s">
        <v>1195</v>
      </c>
      <c r="F159" s="149" t="str">
        <f t="shared" si="16"/>
        <v>Vrhunska istraživanja Znanstvenih centara izvrsnosti</v>
      </c>
      <c r="G159" s="198">
        <v>405277</v>
      </c>
      <c r="H159" s="198">
        <v>405277</v>
      </c>
      <c r="I159" s="198">
        <v>405277</v>
      </c>
      <c r="J159" s="226"/>
      <c r="K159" s="225">
        <v>43009</v>
      </c>
      <c r="L159" s="225">
        <v>44834</v>
      </c>
      <c r="M159" s="226" t="s">
        <v>1699</v>
      </c>
      <c r="N159" s="226" t="s">
        <v>1698</v>
      </c>
      <c r="P159" s="144" t="str">
        <f t="shared" si="17"/>
        <v>369</v>
      </c>
      <c r="Q159" s="144" t="str">
        <f t="shared" si="18"/>
        <v>36</v>
      </c>
      <c r="AA159" s="144" t="s">
        <v>1213</v>
      </c>
      <c r="AB159" s="144" t="s">
        <v>1214</v>
      </c>
    </row>
    <row r="160" spans="1:28">
      <c r="A160" s="154">
        <v>12</v>
      </c>
      <c r="B160" s="149" t="str">
        <f t="shared" si="15"/>
        <v>Sredstva učešća za pomoći</v>
      </c>
      <c r="C160" s="154">
        <v>4224</v>
      </c>
      <c r="D160" s="149" t="str">
        <f t="shared" si="14"/>
        <v>Medicinska i laboratorijska oprema</v>
      </c>
      <c r="E160" s="201" t="s">
        <v>1195</v>
      </c>
      <c r="F160" s="149" t="str">
        <f t="shared" si="16"/>
        <v>Vrhunska istraživanja Znanstvenih centara izvrsnosti</v>
      </c>
      <c r="G160" s="198">
        <v>991839</v>
      </c>
      <c r="H160" s="198">
        <v>0</v>
      </c>
      <c r="I160" s="198">
        <v>0</v>
      </c>
      <c r="J160" s="226"/>
      <c r="K160" s="225">
        <v>43009</v>
      </c>
      <c r="L160" s="225">
        <v>44834</v>
      </c>
      <c r="M160" s="226" t="s">
        <v>1699</v>
      </c>
      <c r="N160" s="226" t="s">
        <v>1698</v>
      </c>
      <c r="P160" s="144" t="str">
        <f t="shared" si="17"/>
        <v>422</v>
      </c>
      <c r="Q160" s="144" t="str">
        <f t="shared" si="18"/>
        <v>42</v>
      </c>
      <c r="AA160" s="144" t="s">
        <v>1215</v>
      </c>
      <c r="AB160" s="144" t="s">
        <v>1216</v>
      </c>
    </row>
    <row r="161" spans="1:28">
      <c r="A161" s="154">
        <v>563</v>
      </c>
      <c r="B161" s="149" t="str">
        <f t="shared" si="15"/>
        <v>Europski fond za regionalni razvoj (ERDF)</v>
      </c>
      <c r="C161" s="154">
        <v>3111</v>
      </c>
      <c r="D161" s="149" t="str">
        <f t="shared" si="14"/>
        <v>Plaće za redovan rad</v>
      </c>
      <c r="E161" s="201" t="s">
        <v>1195</v>
      </c>
      <c r="F161" s="149" t="str">
        <f t="shared" si="16"/>
        <v>Vrhunska istraživanja Znanstvenih centara izvrsnosti</v>
      </c>
      <c r="G161" s="198">
        <v>1103480</v>
      </c>
      <c r="H161" s="198">
        <v>1194367</v>
      </c>
      <c r="I161" s="198">
        <v>924142</v>
      </c>
      <c r="J161" s="226"/>
      <c r="K161" s="225">
        <v>43009</v>
      </c>
      <c r="L161" s="225">
        <v>44834</v>
      </c>
      <c r="M161" s="226" t="s">
        <v>1699</v>
      </c>
      <c r="N161" s="226" t="s">
        <v>1698</v>
      </c>
      <c r="P161" s="144" t="str">
        <f t="shared" si="17"/>
        <v>311</v>
      </c>
      <c r="Q161" s="144" t="str">
        <f t="shared" si="18"/>
        <v>31</v>
      </c>
      <c r="AA161" s="144" t="s">
        <v>1217</v>
      </c>
      <c r="AB161" s="144" t="s">
        <v>1218</v>
      </c>
    </row>
    <row r="162" spans="1:28">
      <c r="A162" s="154">
        <v>563</v>
      </c>
      <c r="B162" s="149" t="str">
        <f t="shared" si="15"/>
        <v>Europski fond za regionalni razvoj (ERDF)</v>
      </c>
      <c r="C162" s="154">
        <v>3132</v>
      </c>
      <c r="D162" s="149" t="str">
        <f t="shared" si="14"/>
        <v>Doprinosi za obvezno zdravstveno osiguranje</v>
      </c>
      <c r="E162" s="201" t="s">
        <v>1195</v>
      </c>
      <c r="F162" s="149" t="str">
        <f t="shared" si="16"/>
        <v>Vrhunska istraživanja Znanstvenih centara izvrsnosti</v>
      </c>
      <c r="G162" s="198">
        <v>182074</v>
      </c>
      <c r="H162" s="198">
        <v>197071</v>
      </c>
      <c r="I162" s="198">
        <v>152484</v>
      </c>
      <c r="J162" s="226"/>
      <c r="K162" s="225">
        <v>43009</v>
      </c>
      <c r="L162" s="225">
        <v>44834</v>
      </c>
      <c r="M162" s="226" t="s">
        <v>1699</v>
      </c>
      <c r="N162" s="226" t="s">
        <v>1698</v>
      </c>
      <c r="P162" s="144" t="str">
        <f t="shared" si="17"/>
        <v>313</v>
      </c>
      <c r="Q162" s="144" t="str">
        <f t="shared" si="18"/>
        <v>31</v>
      </c>
      <c r="AA162" s="144" t="s">
        <v>1219</v>
      </c>
      <c r="AB162" s="144" t="s">
        <v>1220</v>
      </c>
    </row>
    <row r="163" spans="1:28">
      <c r="A163" s="154">
        <v>563</v>
      </c>
      <c r="B163" s="149" t="str">
        <f t="shared" si="15"/>
        <v>Europski fond za regionalni razvoj (ERDF)</v>
      </c>
      <c r="C163" s="154">
        <v>3211</v>
      </c>
      <c r="D163" s="149" t="str">
        <f t="shared" si="14"/>
        <v>Službena putovanja</v>
      </c>
      <c r="E163" s="201" t="s">
        <v>1195</v>
      </c>
      <c r="F163" s="149" t="str">
        <f t="shared" si="16"/>
        <v>Vrhunska istraživanja Znanstvenih centara izvrsnosti</v>
      </c>
      <c r="G163" s="198">
        <v>203044</v>
      </c>
      <c r="H163" s="198">
        <v>211650</v>
      </c>
      <c r="I163" s="198">
        <v>152473</v>
      </c>
      <c r="J163" s="226"/>
      <c r="K163" s="225">
        <v>43009</v>
      </c>
      <c r="L163" s="225">
        <v>44834</v>
      </c>
      <c r="M163" s="226" t="s">
        <v>1699</v>
      </c>
      <c r="N163" s="226" t="s">
        <v>1698</v>
      </c>
      <c r="P163" s="144" t="str">
        <f t="shared" si="17"/>
        <v>321</v>
      </c>
      <c r="Q163" s="144" t="str">
        <f t="shared" si="18"/>
        <v>32</v>
      </c>
      <c r="AA163" s="144" t="s">
        <v>1221</v>
      </c>
      <c r="AB163" s="144" t="s">
        <v>1222</v>
      </c>
    </row>
    <row r="164" spans="1:28">
      <c r="A164" s="154">
        <v>563</v>
      </c>
      <c r="B164" s="149" t="str">
        <f t="shared" si="15"/>
        <v>Europski fond za regionalni razvoj (ERDF)</v>
      </c>
      <c r="C164" s="154">
        <v>3213</v>
      </c>
      <c r="D164" s="149" t="str">
        <f t="shared" si="14"/>
        <v>Stručno usavršavanje zaposlenika</v>
      </c>
      <c r="E164" s="201" t="s">
        <v>1195</v>
      </c>
      <c r="F164" s="149" t="str">
        <f t="shared" si="16"/>
        <v>Vrhunska istraživanja Znanstvenih centara izvrsnosti</v>
      </c>
      <c r="G164" s="198">
        <v>22313</v>
      </c>
      <c r="H164" s="198">
        <v>18573</v>
      </c>
      <c r="I164" s="198">
        <v>11156</v>
      </c>
      <c r="J164" s="226"/>
      <c r="K164" s="225">
        <v>43009</v>
      </c>
      <c r="L164" s="225">
        <v>44834</v>
      </c>
      <c r="M164" s="226" t="s">
        <v>1699</v>
      </c>
      <c r="N164" s="226" t="s">
        <v>1698</v>
      </c>
      <c r="P164" s="144" t="str">
        <f t="shared" si="17"/>
        <v>321</v>
      </c>
      <c r="Q164" s="144" t="str">
        <f t="shared" si="18"/>
        <v>32</v>
      </c>
      <c r="AA164" s="144" t="s">
        <v>1223</v>
      </c>
      <c r="AB164" s="144" t="s">
        <v>1224</v>
      </c>
    </row>
    <row r="165" spans="1:28">
      <c r="A165" s="154">
        <v>563</v>
      </c>
      <c r="B165" s="149" t="str">
        <f t="shared" si="15"/>
        <v>Europski fond za regionalni razvoj (ERDF)</v>
      </c>
      <c r="C165" s="154">
        <v>3221</v>
      </c>
      <c r="D165" s="149" t="str">
        <f t="shared" si="14"/>
        <v>Uredski materijal i ostali materijalni rashodi</v>
      </c>
      <c r="E165" s="201" t="s">
        <v>1195</v>
      </c>
      <c r="F165" s="149" t="str">
        <f t="shared" si="16"/>
        <v>Vrhunska istraživanja Znanstvenih centara izvrsnosti</v>
      </c>
      <c r="G165" s="198">
        <v>484879</v>
      </c>
      <c r="H165" s="198">
        <v>484879</v>
      </c>
      <c r="I165" s="198">
        <v>363659</v>
      </c>
      <c r="J165" s="226"/>
      <c r="K165" s="225">
        <v>43009</v>
      </c>
      <c r="L165" s="225">
        <v>44834</v>
      </c>
      <c r="M165" s="226" t="s">
        <v>1699</v>
      </c>
      <c r="N165" s="226" t="s">
        <v>1698</v>
      </c>
      <c r="P165" s="144" t="str">
        <f t="shared" si="17"/>
        <v>322</v>
      </c>
      <c r="Q165" s="144" t="str">
        <f t="shared" si="18"/>
        <v>32</v>
      </c>
      <c r="AA165" s="144" t="s">
        <v>1225</v>
      </c>
      <c r="AB165" s="144" t="s">
        <v>1226</v>
      </c>
    </row>
    <row r="166" spans="1:28">
      <c r="A166" s="154">
        <v>563</v>
      </c>
      <c r="B166" s="149" t="str">
        <f t="shared" si="15"/>
        <v>Europski fond za regionalni razvoj (ERDF)</v>
      </c>
      <c r="C166" s="154">
        <v>3223</v>
      </c>
      <c r="D166" s="149" t="str">
        <f t="shared" si="14"/>
        <v>Energija</v>
      </c>
      <c r="E166" s="201" t="s">
        <v>1195</v>
      </c>
      <c r="F166" s="149" t="str">
        <f t="shared" si="16"/>
        <v>Vrhunska istraživanja Znanstvenih centara izvrsnosti</v>
      </c>
      <c r="G166" s="198">
        <v>25500</v>
      </c>
      <c r="H166" s="198">
        <v>0</v>
      </c>
      <c r="I166" s="198">
        <v>0</v>
      </c>
      <c r="J166" s="226"/>
      <c r="K166" s="225">
        <v>43009</v>
      </c>
      <c r="L166" s="225">
        <v>44834</v>
      </c>
      <c r="M166" s="226" t="s">
        <v>1699</v>
      </c>
      <c r="N166" s="226" t="s">
        <v>1698</v>
      </c>
      <c r="P166" s="144" t="str">
        <f t="shared" si="17"/>
        <v>322</v>
      </c>
      <c r="Q166" s="144" t="str">
        <f t="shared" si="18"/>
        <v>32</v>
      </c>
      <c r="AA166" s="144" t="s">
        <v>1227</v>
      </c>
      <c r="AB166" s="144" t="s">
        <v>1228</v>
      </c>
    </row>
    <row r="167" spans="1:28">
      <c r="A167" s="154">
        <v>563</v>
      </c>
      <c r="B167" s="149" t="str">
        <f t="shared" si="15"/>
        <v>Europski fond za regionalni razvoj (ERDF)</v>
      </c>
      <c r="C167" s="154">
        <v>3231</v>
      </c>
      <c r="D167" s="149" t="str">
        <f t="shared" si="14"/>
        <v>Usluge telefona, pošte i prijevoza</v>
      </c>
      <c r="E167" s="201" t="s">
        <v>1195</v>
      </c>
      <c r="F167" s="149" t="str">
        <f t="shared" si="16"/>
        <v>Vrhunska istraživanja Znanstvenih centara izvrsnosti</v>
      </c>
      <c r="G167" s="198">
        <v>16320</v>
      </c>
      <c r="H167" s="198">
        <v>16320</v>
      </c>
      <c r="I167" s="198">
        <v>12240</v>
      </c>
      <c r="J167" s="226"/>
      <c r="K167" s="225">
        <v>43009</v>
      </c>
      <c r="L167" s="225">
        <v>44834</v>
      </c>
      <c r="M167" s="226" t="s">
        <v>1699</v>
      </c>
      <c r="N167" s="226" t="s">
        <v>1698</v>
      </c>
      <c r="P167" s="144" t="str">
        <f t="shared" si="17"/>
        <v>323</v>
      </c>
      <c r="Q167" s="144" t="str">
        <f t="shared" si="18"/>
        <v>32</v>
      </c>
      <c r="AA167" s="144" t="s">
        <v>1229</v>
      </c>
      <c r="AB167" s="144" t="s">
        <v>1230</v>
      </c>
    </row>
    <row r="168" spans="1:28">
      <c r="A168" s="154">
        <v>563</v>
      </c>
      <c r="B168" s="149" t="str">
        <f t="shared" si="15"/>
        <v>Europski fond za regionalni razvoj (ERDF)</v>
      </c>
      <c r="C168" s="154">
        <v>3237</v>
      </c>
      <c r="D168" s="149" t="str">
        <f t="shared" si="14"/>
        <v>Intelektualne i osobne usluge</v>
      </c>
      <c r="E168" s="201" t="s">
        <v>1195</v>
      </c>
      <c r="F168" s="149" t="str">
        <f t="shared" si="16"/>
        <v>Vrhunska istraživanja Znanstvenih centara izvrsnosti</v>
      </c>
      <c r="G168" s="198">
        <v>17000</v>
      </c>
      <c r="H168" s="198">
        <v>38250</v>
      </c>
      <c r="I168" s="198">
        <v>93500</v>
      </c>
      <c r="J168" s="226"/>
      <c r="K168" s="225">
        <v>43009</v>
      </c>
      <c r="L168" s="225">
        <v>44834</v>
      </c>
      <c r="M168" s="226" t="s">
        <v>1699</v>
      </c>
      <c r="N168" s="226" t="s">
        <v>1698</v>
      </c>
      <c r="P168" s="144" t="str">
        <f t="shared" si="17"/>
        <v>323</v>
      </c>
      <c r="Q168" s="144" t="str">
        <f t="shared" si="18"/>
        <v>32</v>
      </c>
      <c r="AA168" s="144" t="s">
        <v>1231</v>
      </c>
      <c r="AB168" s="144" t="s">
        <v>1232</v>
      </c>
    </row>
    <row r="169" spans="1:28">
      <c r="A169" s="154">
        <v>563</v>
      </c>
      <c r="B169" s="149" t="str">
        <f t="shared" si="15"/>
        <v>Europski fond za regionalni razvoj (ERDF)</v>
      </c>
      <c r="C169" s="154">
        <v>3239</v>
      </c>
      <c r="D169" s="149" t="str">
        <f t="shared" si="14"/>
        <v>Ostale usluge</v>
      </c>
      <c r="E169" s="201" t="s">
        <v>1195</v>
      </c>
      <c r="F169" s="149" t="str">
        <f t="shared" si="16"/>
        <v>Vrhunska istraživanja Znanstvenih centara izvrsnosti</v>
      </c>
      <c r="G169" s="198">
        <v>212500</v>
      </c>
      <c r="H169" s="198">
        <v>258795</v>
      </c>
      <c r="I169" s="198">
        <v>258795</v>
      </c>
      <c r="J169" s="226"/>
      <c r="K169" s="225">
        <v>43009</v>
      </c>
      <c r="L169" s="225">
        <v>44834</v>
      </c>
      <c r="M169" s="226" t="s">
        <v>1699</v>
      </c>
      <c r="N169" s="226" t="s">
        <v>1698</v>
      </c>
      <c r="P169" s="144" t="str">
        <f t="shared" si="17"/>
        <v>323</v>
      </c>
      <c r="Q169" s="144" t="str">
        <f t="shared" si="18"/>
        <v>32</v>
      </c>
      <c r="AA169" s="144" t="s">
        <v>1233</v>
      </c>
      <c r="AB169" s="144" t="s">
        <v>1234</v>
      </c>
    </row>
    <row r="170" spans="1:28">
      <c r="A170" s="154">
        <v>563</v>
      </c>
      <c r="B170" s="149" t="str">
        <f t="shared" si="15"/>
        <v>Europski fond za regionalni razvoj (ERDF)</v>
      </c>
      <c r="C170" s="154">
        <v>3693</v>
      </c>
      <c r="D170" s="149" t="str">
        <f t="shared" si="14"/>
        <v>Tekući prijenosi između proračunskih korisnika istog proraču</v>
      </c>
      <c r="E170" s="201" t="s">
        <v>1195</v>
      </c>
      <c r="F170" s="149" t="str">
        <f t="shared" si="16"/>
        <v>Vrhunska istraživanja Znanstvenih centara izvrsnosti</v>
      </c>
      <c r="G170" s="198">
        <v>2296567</v>
      </c>
      <c r="H170" s="198">
        <v>2296567</v>
      </c>
      <c r="I170" s="198">
        <v>2296567</v>
      </c>
      <c r="J170" s="226"/>
      <c r="K170" s="225">
        <v>43009</v>
      </c>
      <c r="L170" s="225">
        <v>44834</v>
      </c>
      <c r="M170" s="226" t="s">
        <v>1699</v>
      </c>
      <c r="N170" s="226" t="s">
        <v>1698</v>
      </c>
      <c r="P170" s="144" t="str">
        <f t="shared" si="17"/>
        <v>369</v>
      </c>
      <c r="Q170" s="144" t="str">
        <f t="shared" si="18"/>
        <v>36</v>
      </c>
      <c r="AA170" s="144" t="s">
        <v>1235</v>
      </c>
      <c r="AB170" s="144" t="s">
        <v>1236</v>
      </c>
    </row>
    <row r="171" spans="1:28">
      <c r="A171" s="154">
        <v>563</v>
      </c>
      <c r="B171" s="149" t="str">
        <f t="shared" si="15"/>
        <v>Europski fond za regionalni razvoj (ERDF)</v>
      </c>
      <c r="C171" s="154">
        <v>4224</v>
      </c>
      <c r="D171" s="149" t="str">
        <f t="shared" si="14"/>
        <v>Medicinska i laboratorijska oprema</v>
      </c>
      <c r="E171" s="201" t="s">
        <v>1195</v>
      </c>
      <c r="F171" s="149" t="str">
        <f t="shared" si="16"/>
        <v>Vrhunska istraživanja Znanstvenih centara izvrsnosti</v>
      </c>
      <c r="G171" s="198">
        <v>5620419</v>
      </c>
      <c r="H171" s="198">
        <v>0</v>
      </c>
      <c r="I171" s="198">
        <v>0</v>
      </c>
      <c r="J171" s="226"/>
      <c r="K171" s="225">
        <v>43009</v>
      </c>
      <c r="L171" s="225">
        <v>44834</v>
      </c>
      <c r="M171" s="226" t="s">
        <v>1699</v>
      </c>
      <c r="N171" s="226" t="s">
        <v>1698</v>
      </c>
      <c r="P171" s="144" t="str">
        <f t="shared" si="17"/>
        <v>422</v>
      </c>
      <c r="Q171" s="144" t="str">
        <f t="shared" si="18"/>
        <v>42</v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H3:I501 G3:G19 G21:G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58" workbookViewId="0">
      <selection activeCell="B49" sqref="B49"/>
    </sheetView>
  </sheetViews>
  <sheetFormatPr defaultRowHeight="14.4"/>
  <cols>
    <col min="1" max="1" width="15.109375" bestFit="1" customWidth="1"/>
    <col min="2" max="2" width="87.10937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234" workbookViewId="0">
      <selection activeCell="B71" sqref="B71"/>
    </sheetView>
  </sheetViews>
  <sheetFormatPr defaultRowHeight="14.4"/>
  <cols>
    <col min="1" max="1" width="19.88671875" customWidth="1"/>
    <col min="2" max="2" width="122.10937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0.399999999999999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0.399999999999999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Aleksandar Đukić</cp:lastModifiedBy>
  <cp:lastPrinted>2019-09-22T15:38:25Z</cp:lastPrinted>
  <dcterms:created xsi:type="dcterms:W3CDTF">2018-09-10T07:36:17Z</dcterms:created>
  <dcterms:modified xsi:type="dcterms:W3CDTF">2019-11-12T11:57:20Z</dcterms:modified>
</cp:coreProperties>
</file>